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0730" windowHeight="1170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<sst xmlns="http://schemas.openxmlformats.org/spreadsheetml/2006/main" count="996" uniqueCount="737">
  <si>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</si>
  <si>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</si>
  <si>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</si>
  <si>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</si>
  <si>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</si>
  <si>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</si>
  <si>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</si>
  <si>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</si>
  <si>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</si>
  <si>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</si>
  <si>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</si>
  <si>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</si>
  <si>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</si>
  <si>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</si>
  <si>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</si>
  <si>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</si>
  <si>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</si>
  <si>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</si>
  <si>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</si>
  <si>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</si>
  <si>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</si>
  <si>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</si>
  <si>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</si>
  <si>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</si>
  <si>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</si>
  <si>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</si>
  <si>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</si>
  <si>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</si>
  <si>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</si>
  <si>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</si>
  <si>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</si>
  <si>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</si>
  <si>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</si>
  <si>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</si>
  <si>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</si>
  <si>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</si>
  <si>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</si>
  <si>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</si>
  <si>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</si>
  <si>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</si>
  <si>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</si>
  <si>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</si>
  <si>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</si>
  <si>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</si>
  <si>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</si>
  <si>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</si>
  <si>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</si>
  <si>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</si>
  <si>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</si>
  <si>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</si>
  <si>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</si>
  <si>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</si>
  <si>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</si>
  <si>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</si>
  <si>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</si>
  <si>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</si>
  <si>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</si>
  <si>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</si>
  <si>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</si>
  <si>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</si>
  <si>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</si>
  <si>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</si>
  <si>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</si>
  <si>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</si>
  <si>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</si>
  <si>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</si>
  <si>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</si>
  <si>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</si>
  <si>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</si>
  <si>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</si>
  <si>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</si>
  <si>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</si>
  <si>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</si>
  <si>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</si>
  <si>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</si>
  <si>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</si>
  <si>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</si>
  <si>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</si>
  <si>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</si>
  <si>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</si>
  <si>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</si>
  <si>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</si>
  <si>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</si>
  <si>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</si>
  <si>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</si>
  <si>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</si>
  <si>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</si>
  <si>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</si>
  <si>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</si>
  <si>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</si>
  <si>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</si>
  <si>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</si>
  <si>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</si>
  <si>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</si>
  <si>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</si>
  <si>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</si>
  <si>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</si>
  <si>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</si>
  <si>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</si>
  <si>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</si>
  <si>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</si>
  <si>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</si>
  <si>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</si>
  <si>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</si>
  <si>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</si>
  <si>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</si>
  <si>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</si>
  <si>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</si>
  <si>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</si>
  <si>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</si>
  <si>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</si>
  <si>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</si>
  <si>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</si>
  <si>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</si>
  <si>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</si>
  <si>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</si>
  <si>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</si>
  <si>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</si>
  <si>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</si>
  <si>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</si>
  <si>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</si>
  <si>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</si>
  <si>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</si>
  <si>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</si>
  <si>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</si>
  <si>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</si>
  <si>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</si>
  <si>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</si>
  <si>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</si>
  <si>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</si>
  <si>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</si>
  <si>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</si>
  <si>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</si>
  <si>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</si>
  <si>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</si>
  <si>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</si>
  <si>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</si>
  <si>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</si>
  <si>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</si>
  <si>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</si>
  <si>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</si>
  <si>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</si>
  <si>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</si>
  <si>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</si>
  <si>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</si>
  <si>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</si>
  <si>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</si>
  <si>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</si>
  <si>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</si>
  <si>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</si>
  <si>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</si>
  <si>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</si>
  <si>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</si>
  <si>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</si>
  <si>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</si>
  <si>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</si>
  <si>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</si>
  <si>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</si>
  <si>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</si>
  <si>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</si>
  <si>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</si>
  <si>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</si>
  <si>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</si>
  <si>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</si>
  <si>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</si>
  <si>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</si>
  <si>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</si>
  <si>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</si>
  <si>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</si>
  <si>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</si>
  <si>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</si>
  <si>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</si>
  <si>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</si>
  <si>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</si>
  <si>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</si>
  <si>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</si>
  <si>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</si>
  <si>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</si>
  <si>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</si>
  <si>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</si>
  <si>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</si>
  <si>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</si>
  <si>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</si>
  <si>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</si>
  <si>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</si>
  <si>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</si>
  <si>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</si>
  <si>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</si>
  <si>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</si>
  <si>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</si>
  <si>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</si>
  <si>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</si>
  <si>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</si>
  <si>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</si>
  <si>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</si>
  <si>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</si>
  <si>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</si>
  <si>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</si>
  <si>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</si>
  <si>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</si>
  <si>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</si>
  <si>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</si>
  <si>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</si>
  <si>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</si>
  <si>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</si>
  <si>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</si>
  <si>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</si>
  <si>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</si>
  <si>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</si>
  <si>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</si>
  <si>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</si>
  <si>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</si>
  <si>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</si>
  <si>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</si>
  <si>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</si>
  <si>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</si>
  <si>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</si>
  <si>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</si>
  <si>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</si>
  <si>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</si>
  <si>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</si>
  <si>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</si>
  <si>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</si>
  <si>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</si>
  <si>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</si>
  <si>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</si>
  <si>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</si>
  <si>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</si>
  <si>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</si>
  <si>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</si>
  <si>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</si>
  <si>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</si>
  <si>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</si>
  <si>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</si>
  <si>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</si>
  <si>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</si>
  <si>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</si>
  <si>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</si>
  <si>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</si>
  <si>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</si>
  <si>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</si>
  <si>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</si>
  <si>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</si>
  <si>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</si>
  <si>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</si>
  <si>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</si>
  <si>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</si>
  <si>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</si>
  <si>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</si>
  <si>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</si>
  <si>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</si>
  <si>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</si>
  <si>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</si>
  <si>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</si>
  <si>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</si>
  <si>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</si>
  <si>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</si>
  <si>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</si>
  <si>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</si>
  <si>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</si>
  <si>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</si>
  <si>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</si>
  <si>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</si>
  <si>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</si>
  <si>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</si>
  <si>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</si>
  <si>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</si>
  <si>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</si>
  <si>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</si>
  <si>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</si>
  <si>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</si>
  <si>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</si>
  <si>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</si>
  <si>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</si>
  <si>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</si>
  <si>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</si>
  <si>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</si>
  <si>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</si>
  <si>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</si>
  <si>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</si>
  <si>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</si>
  <si>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</si>
  <si>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</si>
  <si>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</si>
  <si>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</si>
  <si>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</si>
  <si>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</si>
  <si>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</si>
  <si>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</si>
  <si>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</si>
  <si>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</si>
  <si>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</si>
  <si>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</si>
  <si>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</si>
  <si>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</si>
  <si>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</si>
  <si>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</si>
  <si>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</si>
  <si>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</si>
  <si>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</si>
  <si>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</si>
  <si>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</si>
  <si>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</si>
  <si>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</si>
  <si>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</si>
  <si>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</si>
  <si>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</si>
  <si>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</si>
  <si>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</si>
  <si>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</si>
  <si>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</si>
  <si>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</si>
  <si>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</si>
  <si>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</si>
  <si>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</si>
  <si>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</si>
  <si>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</si>
  <si>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</si>
  <si>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</si>
  <si>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</si>
  <si>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</si>
  <si>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</si>
  <si>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</si>
  <si>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</si>
  <si>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</si>
  <si>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</si>
  <si>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</si>
  <si>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</si>
  <si>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</si>
  <si>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</si>
  <si>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</si>
  <si>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</si>
  <si>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</si>
  <si>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</si>
  <si>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</si>
  <si>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</si>
  <si>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</si>
  <si>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</si>
  <si>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</si>
  <si>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</si>
  <si>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</si>
  <si>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</si>
  <si>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</si>
  <si>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</si>
  <si>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</si>
  <si>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</si>
  <si>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</si>
  <si>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</si>
  <si>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</si>
  <si>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</si>
  <si>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</si>
  <si>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</si>
  <si>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</si>
  <si>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</si>
  <si>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</si>
  <si>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</si>
  <si>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</si>
  <si>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</si>
  <si>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</si>
  <si>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</si>
  <si>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</si>
  <si>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</si>
  <si>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</si>
  <si>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</si>
  <si>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</si>
  <si>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</si>
  <si>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</si>
  <si>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</si>
  <si>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</si>
  <si>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</si>
  <si>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</si>
  <si>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</si>
  <si>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</si>
  <si>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</si>
  <si>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</si>
  <si>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</si>
  <si>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</si>
  <si>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</si>
  <si>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</si>
  <si>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</si>
  <si>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</si>
  <si>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</si>
  <si>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</si>
  <si>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</si>
  <si>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</si>
  <si>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</si>
  <si>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</si>
  <si>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</si>
  <si>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</si>
  <si>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</si>
  <si>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</si>
  <si>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</si>
  <si>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</si>
  <si>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</si>
  <si>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</si>
  <si>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</si>
  <si>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</si>
  <si>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</si>
  <si>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</si>
  <si>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</si>
  <si>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</si>
  <si>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</si>
  <si>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</si>
  <si>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</si>
  <si>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</si>
  <si>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</si>
  <si>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</si>
  <si>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</si>
  <si>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</si>
  <si>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</si>
  <si>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</si>
  <si>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</si>
  <si>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</si>
  <si>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</si>
  <si>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</si>
  <si>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</si>
  <si>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</si>
  <si>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</si>
  <si>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</si>
  <si>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</si>
  <si>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</si>
  <si>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</si>
  <si>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</si>
  <si>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</si>
  <si>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</si>
  <si>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</si>
  <si>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</si>
  <si>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</si>
  <si>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</si>
  <si>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</si>
  <si>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</si>
  <si>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</si>
  <si>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</si>
  <si>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</si>
  <si>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</si>
  <si>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</si>
  <si>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</si>
  <si>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</si>
  <si>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</si>
  <si>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</si>
  <si>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</si>
  <si>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</si>
  <si>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</si>
  <si>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</si>
  <si>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</si>
  <si>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</si>
  <si>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</si>
  <si>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</si>
  <si>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</si>
  <si>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</si>
  <si>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</si>
  <si>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</si>
  <si>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</si>
  <si>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</si>
  <si>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</si>
  <si>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</si>
  <si>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</si>
  <si>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</si>
  <si>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</si>
  <si>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</si>
  <si>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</si>
  <si>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</si>
  <si>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</si>
  <si>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</si>
  <si>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</si>
  <si>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</si>
  <si>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</si>
  <si>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</si>
  <si>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</si>
  <si>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</si>
  <si>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</si>
  <si>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</si>
  <si>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</si>
  <si>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</si>
  <si>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</si>
  <si>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</si>
  <si>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</si>
  <si>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</si>
  <si>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</si>
  <si>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</si>
  <si>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</si>
  <si>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</si>
  <si>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</si>
  <si>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</si>
  <si>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</si>
  <si>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</si>
  <si>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</si>
  <si>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</si>
  <si>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</si>
  <si>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</si>
  <si>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</si>
  <si>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</si>
  <si>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</si>
  <si>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</si>
  <si>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</si>
  <si>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</si>
  <si>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</si>
  <si>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</si>
  <si>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</si>
  <si>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</si>
  <si>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</si>
  <si>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</si>
  <si>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</si>
  <si>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</si>
  <si>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</si>
  <si>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</si>
  <si>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</si>
  <si>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</si>
  <si>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</si>
  <si>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</si>
  <si>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</si>
  <si>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</si>
  <si>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</si>
  <si>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</si>
  <si>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</si>
  <si>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</si>
  <si>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</si>
  <si>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</si>
  <si>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</si>
  <si>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</si>
  <si>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</si>
  <si>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</si>
  <si>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</si>
  <si>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</si>
  <si>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</si>
  <si>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</si>
  <si>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</si>
  <si>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</si>
  <si>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</si>
  <si>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</si>
  <si>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</si>
  <si>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</si>
  <si>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</si>
  <si>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</si>
  <si>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</si>
  <si>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</si>
  <si>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</si>
  <si>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</si>
  <si>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</si>
  <si>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</si>
  <si>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</si>
  <si>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</si>
  <si>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</si>
  <si>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</si>
  <si>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</si>
  <si>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</si>
  <si>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</si>
  <si>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</si>
  <si>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</si>
  <si>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</si>
  <si>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</si>
  <si>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</si>
  <si>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</si>
  <si>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</si>
  <si>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</si>
  <si>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</si>
  <si>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</si>
  <si>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</si>
  <si>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</si>
  <si>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</si>
  <si>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</si>
  <si>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</si>
  <si>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</si>
  <si>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</si>
  <si>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</si>
  <si>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</si>
  <si>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</si>
  <si>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</si>
  <si>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</si>
  <si>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</si>
  <si>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</si>
  <si>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</si>
  <si>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</si>
  <si>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</si>
  <si>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</si>
  <si>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</si>
  <si>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</si>
  <si>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</si>
  <si>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</si>
  <si>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</si>
  <si>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</si>
  <si>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</si>
  <si>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</si>
  <si>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</si>
  <si>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</si>
  <si>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</si>
  <si>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</si>
  <si>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</si>
  <si>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</si>
  <si>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</si>
  <si>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</si>
  <si>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</si>
  <si>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</si>
  <si>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</si>
  <si>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</si>
  <si>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</si>
  <si>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</si>
  <si>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</si>
  <si>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</si>
  <si>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</si>
  <si>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</si>
  <si>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</si>
  <si>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</si>
  <si>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</si>
  <si>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</si>
  <si>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</si>
  <si>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</si>
  <si>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</si>
  <si>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</si>
  <si>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</si>
  <si>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</si>
  <si>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</si>
  <si>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</si>
  <si>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</si>
  <si>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</si>
  <si>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</si>
  <si>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</si>
  <si>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</si>
  <si>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</si>
  <si>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</si>
  <si>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</si>
  <si>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</si>
  <si>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</si>
  <si>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</si>
  <si>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</si>
  <si>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</si>
  <si>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</si>
  <si>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</si>
  <si>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</si>
  <si>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</si>
  <si>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</si>
  <si>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</si>
  <si>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</si>
  <si>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</si>
  <si>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</si>
  <si>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</si>
  <si>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</si>
  <si>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</si>
  <si>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</si>
  <si>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</si>
  <si>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</si>
  <si>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</si>
  <si>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</si>
  <si>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</si>
  <si>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</si>
  <si>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</si>
  <si>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</si>
  <si>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</si>
  <si>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</si>
  <si>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</si>
  <si>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</si>
  <si>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</si>
  <si>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</si>
  <si>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</si>
  <si>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</si>
  <si>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</si>
  <si>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</si>
  <si>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</si>
  <si>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</si>
  <si>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</si>
  <si>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</si>
  <si>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</si>
  <si>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</si>
  <si>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</si>
  <si>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</si>
  <si>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</si>
  <si>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</si>
  <si>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</si>
  <si>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</si>
  <si>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</si>
  <si>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</si>
  <si>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</si>
  <si>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</si>
  <si>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</si>
  <si>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</si>
  <si>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</si>
  <si>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</si>
  <si>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PIERPAOLO</t>
  </si>
  <si>
    <t>RIVA</t>
  </si>
  <si>
    <t>ITALIA</t>
  </si>
  <si>
    <t>MILANO</t>
  </si>
  <si>
    <t>MI</t>
  </si>
  <si>
    <t>italiano</t>
  </si>
  <si>
    <t>inglese</t>
  </si>
  <si>
    <t>INGEGNERIA DELLE TECNOLOGIE INDUSTRIALI</t>
  </si>
  <si>
    <t>1997</t>
  </si>
  <si>
    <t>POLITECNICO DI MILANO</t>
  </si>
  <si>
    <t>83/100</t>
  </si>
  <si>
    <t>Executive MBA</t>
  </si>
  <si>
    <t>2003</t>
  </si>
  <si>
    <t>SDA BOCCONI SCHOOL OF MANAGEMENT - MILANO</t>
  </si>
  <si>
    <t>IN CORSO</t>
  </si>
  <si>
    <t>AXXEA</t>
  </si>
  <si>
    <t>CONSULENZA DIREZIONALE</t>
  </si>
  <si>
    <t>CONSULENTE TECNICO D'UFFICIO N 14615 - TRIBUNALE DI MILANO</t>
  </si>
  <si>
    <t>01/01/2001</t>
  </si>
  <si>
    <t>31/12/2003</t>
  </si>
  <si>
    <t>INVENSYS</t>
  </si>
  <si>
    <t>SESTO SAN GIOVANNI</t>
  </si>
  <si>
    <t>SISTEMI SOFTWARE (ERP, CRM, BUSINESS INTELLIGENCE E-COMMERCE)</t>
  </si>
  <si>
    <t>12/05/2018</t>
  </si>
  <si>
    <t>12/07/2018</t>
  </si>
  <si>
    <t>TEA ACQUE</t>
  </si>
  <si>
    <t>MANTOVA</t>
  </si>
  <si>
    <t>MN</t>
  </si>
  <si>
    <t>DISTRIBUZIONE E DEPURAZIONE ACQUE</t>
  </si>
  <si>
    <t>Commissione Europea</t>
  </si>
  <si>
    <t>2015</t>
  </si>
  <si>
    <t>23/05/2018</t>
  </si>
  <si>
    <t>DOXEE</t>
  </si>
  <si>
    <t>MODENA</t>
  </si>
  <si>
    <t>MO</t>
  </si>
  <si>
    <t>SERVIZI DIGITALI - CUSTOMER COMMUNICATION MANAGEMENT</t>
  </si>
  <si>
    <t>CONSULENZA TECNICA DI PARTE (CTP) IN AMBITO PROTEZIONE DEL KNOW HOW E INNOVAZIONE TECNOLOGICA</t>
  </si>
  <si>
    <t>PERIZIA TECNICA SU: VALORE KNOW-HOW, VALORE INNOVAZIONE TECNOLOGICA E VALORE D'IMPRESA</t>
  </si>
  <si>
    <t>Perizia estimativa del valore degli impianti di depurazione e distribuzione acque</t>
  </si>
  <si>
    <t>12/11/1997</t>
  </si>
  <si>
    <t>31/12/2000</t>
  </si>
  <si>
    <t>BAAN COMPANY NV</t>
  </si>
  <si>
    <t>RUOLO PROJECT MANAGER. VALUTAZIONE TECNICA DEI PROGETTI. STIMA ECONOMICO FINANZIARIA DEI PROGETTI. AVVIAMENTO E COMPLETAMENTO PROGETTI, GESTIONE E COORDINAMENTO TEAM DI PROGETTO</t>
  </si>
  <si>
    <t>RUOLO CONSULTING MANAGER. ACQUISIZIONE PROGETTI, VALUTAZIONE ECONOMICO FINANZIARIA PROGETTI, PREVENTIVAZIONE ED EMISSIONE OFFERTE, AVVIAMENTO E COMPLETAMENTO PROGETTI, GESTIONE E COORDINAMENTO TEAM DI CONSULENZA</t>
  </si>
  <si>
    <t>Consulenza Tecnica di Parte (CTP) per la Valutazione tecnico – economica di 13 (tredici) impianti di depurazione acque per i Comuni di Gazzuolo, Malavicina, Romanore, Bigarello, Buscoldo, Magnacavallo, Pietole, Villa Saviola, Castellucchio, Roncoferraro, Pegognaga, Roverbella e Bozzolo situati nella provincia di Mantova.</t>
  </si>
  <si>
    <t>GESTIONE ECONOMICO FINANZIARIA DELLA BUSINESS UNIT. GESTIONE CLIENTI, GESTIONE PROGETTI E RISORSE DEL TEAM DI CONSULENZA. ALCUNI CLIENTI &gt; ABB; Alstom Power; Ergom; Laserline; Pininfarina</t>
  </si>
  <si>
    <t>GESTIONE ECONOMICO FINANZIARIA DELLE COMMESSE, GESTIONE PROGETTI E RELATIVE RISORSE. ALCUNI CLIENTI &gt; Ferrari; ABB; Marconi Communication; OTE</t>
  </si>
  <si>
    <t xml:space="preserve">In questa area la mia Laurea in Ingegneria delle tecnologie Industriali, in particolare attraverso discipline quali: gestione della produzione (progettazione e controllo dei processi produttivi avanzati), ricerca operativa (modellizzazione dei sistemi di controllo dei processi), disegno industriale, impianti e tecnologie industriali, impianti speciali (robotizzati), servizi generali d'impianto, tecnologie meccaniche (tradizionali e innovative), impianti per l'elaborazione delle informazioni, informatica industriale, controlli automatici (evolutivi e adattativi), impiego industriale dei materiali, meccanica applicata alle macchine e tanti altri, ha giocato un ruolo fondamentale per la mia professionalità circa le sotto aree MA1, MA2 e MA5. Un contributo diverso ma pur sempre importante l'ha portato, nelle medisime aree MA1, MA2 e MA5 il Master of Business Administration attraverso discipline quali strategia e gestione dell'innovazione, tecnologia e produzione nonchè sistemi informativi aziendali avanzati. </t>
  </si>
  <si>
    <t>IL JUST IN TIME SEQUENZIATO IN UN' INDUSTRIA AUTOMOTIVE (internship)
(Progettazione Linea di produzione robotizzata mixed models e sistemi gestionali avanzati per il controllo sequenziato ERP/Just In Time)</t>
  </si>
  <si>
    <t>4/5</t>
  </si>
  <si>
    <t>Tutte le sotto aree MA1, MA2 e MA5 trovano riscontro sia nelle mia esperienza di internship in una grande multinazionale dell'auto all'inizio della mia carriera da consulente, sia nei progetti che ho gestito personalmente in tutte le aziende manufatturiere in cui ho operato sempre in qualità di consulente. Progetti complessi che sposano la strategia di mercato con lo sviluppo prodotto e la sua industrializzazione attraverso impianti e processi innovativi, sia sotto l'aspetto tecnologico che gestionale avanzato (dagli asservimenti, al controllo di processo, all'informatica industriale 4.0, alla business intelligence). Un compendio delle mie esperienze lavorative più salienti di consulente, inerenti le sotto aree MA1, MA2 e MA5, corredate dalle tecniche utilizzate, sono raccolte nel libro che ho pubblicato dal titolo: "RILANCIARE L’AZIENDA CON LE PROPRIE RISORSE". Edizione McGraw Hill, Milano, 2013. Articoli riguardanti i medesimi argomenti sono stati pubblicati, nel corso degli anni, per conto della rivista specializzata "Logistica Management" e della "Rivista dell'Ordine degli Ingegneri di Milano".</t>
  </si>
  <si>
    <t>Directive 2011/62/UE - Horizon 2020 - Research and Innovation Framework Programme
Call: H2020-SMEINST-2-2015 Funding scheme: SME instrument Proposal number: 696952 Proposal acronym: COUNTERFEITING Duration (months): 24 Proposal title: PHARMACEUTICAL COUNTERFEITING, DIVERSION AND ANTI TAMPERING CITIZEN’S FRIENDLY SYSTEM</t>
  </si>
  <si>
    <t>Activity: SC5-20-2015-P SME programme (aiming at improving SMEs competitive level and business growth potentials) as well as the topic addressed (SC5-20-2014) focussing on innovation potential for the involved SMEs, with particular emphasis on boosting the potential of small businesses for eco-innovation.</t>
  </si>
  <si>
    <t>Valutazione economico - gestionale e organizzativa di aziende, analisi e valutazione di adeguatezza delle politiche di “corporate governance”, Valutazioni di tipo organizzativo e gestionale in procedure di “due diligence”, analisi e valutazione del valore economico d’impresa, valutazione d’investimenti industriali, audit e valutazione di strutture manageriali, valutazione della gestione dei progetti IT quali: ERP, Business Intelligence ed E-commerce.</t>
  </si>
  <si>
    <t xml:space="preserve">VALUTAZIONE TECNICO ECONOMICA 
SETTORE Impianti industriali; Informatica - Computer; </t>
  </si>
  <si>
    <t xml:space="preserve">CONSULENZA DIREZIONALE IN AMBITO STRATEGIA D'IMPRESA E INNOVAZIONE, CORPORATE GOVERNANCE, GESTIONE E ORGANIZZAZIONE AZIENDALE, GESTIONE DELLA PRODUZIONE, VALUTAZIONE D'IMPRESA, VALUTAZIONE INVESTIMENTI INDUSTRIALI E AVVIO START UP. INCARICHI DI TEMPORARY MANAGER IN AZIENDE STRUTTURATE.
</t>
  </si>
  <si>
    <t xml:space="preserve">AMMINISTRATORE, DIRETTORE GENERALE E CONSULENTE D'ALTA DIREZIONE. GESTIONE ECONOMICO FINANZIARIA. BUSINESS PLAN. DEFINIZIONE DELLE SOLUZIONI PER L' INNOVAZIONE TECNOLOGICA E PROCESSI INDUSTRIALI AVANZATI.
</t>
  </si>
  <si>
    <t>La Laurea in Ingegneria delle tecnologie Industriali conseguita al Politecnico di Milano, nella sua caratterizzazione di insegnamenti quali: economia e organizzazione aziendale, organizzazione del lavoro, gestione della produzione e ricerca operativa, ha posto solide basi per la mia professionalità circa le sotto aree CI1, CI3, CI4. A ciò si unisce, durante il periodo lavorativo, una formazione più specialistica ed approfondita, ottenuta attraverso il conseguimento del Master of Business Administration (executive MBA) in Bocconi, più volta alla strategia, all'economia e finanza aziendale, al marketing, alle vendite, al controllo di gestione, alla valutazione d'impresa e degli investimenti, alla gestione ed organizzazione aziendale, all'innovazione tecnologica, alla pianificazione economico finaziaria delle operazioni di gestione ordinaria e straordinaria (dalla ristrutturazione, al M&amp;A, all'avvio di Start up) completando quindi la mia competenza e la mia professionalità nelle sotto aree CI1, CI3 e CI4.</t>
  </si>
  <si>
    <t>L'impegno lavorativo fin dai tempi dell'università (Internship) in una grande azienda del settore Automotive seguito poi da esperienze di project manager e di consulting manager (in aziende multinazionali) hanno dato un contribuito molto pragmatico e fondamentale alla mia esperienza nel gestire sia progetti, sia un'intera unità operativa, affrontando questioni interdisciplinari e complesse legate alle strategie di mercato da seguire, alla costante innovazione dei servizi erogati, alla formulazione dei budget, alla valutazione tecnico economica delle commesse, al problem solving, alla gestione di persone e mezzi (materiali e finanziari), alla gestione dei clienti e della compliance di quanto sotto la mia responsabilità. Queste esperienze hanno arricchito le mie competenze in particolar modo nella sotto area CI3. Oltre ciò, la mia lunga esperienza sia nella Consulenza Direzionale sia come consulente tecnico (CTP) ha contribuito, per la sua varietà e complessità di impegno nei progetti di consulenza (strategica, organizzativa ed economico-finanziaria) e negli incarichi specifici di tecnico, a consolidare ed arricchire le mie competenze nelle sotto aree CI1, CI3 e CI4. Un compendio delle mie esperienze lavorative più salienti di consulente, inerenti le sotto aree CI1, CI3 e CI4, corredate dalle tecniche utilizzate, sono raccolte nel libro che ho pubblicato dal titolo: "RILANCIARE L’AZIENDA CON LE PROPRIE RISORSE". Edizione McGraw Hill, Milano, 2013. Articoli riguardanti i medesimi argomenti sono stati pubblicati, nel corso degli anni, per conto della rivista specializzata "Logistica Management" e della "Rivista dell'Ordine degli Ingegneri di Milano".</t>
  </si>
  <si>
    <t>1965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</si>
</sst>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19" zoomScaleNormal="100" workbookViewId="0">
      <selection activeCell="D34" sqref="D34:D3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PIERPAOLO RIVA;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t="s">
        <v>679</v>
      </c>
    </row>
    <row r="16" spans="1:4" ht="15" customHeight="1" x14ac:dyDescent="0.35">
      <c r="A16" s="11" t="s">
        <v>95</v>
      </c>
      <c r="B16" s="5"/>
      <c r="C16" s="6" t="s">
        <v>63</v>
      </c>
      <c r="D16" s="3" t="s">
        <v>680</v>
      </c>
    </row>
    <row r="17" spans="1:4" ht="15" customHeight="1" x14ac:dyDescent="0.35">
      <c r="A17" s="11" t="s">
        <v>96</v>
      </c>
      <c r="B17" s="5"/>
      <c r="C17" s="6" t="s">
        <v>100</v>
      </c>
      <c r="D17" s="3" t="s">
        <v>681</v>
      </c>
    </row>
    <row r="18" spans="1:4" ht="15" customHeight="1" x14ac:dyDescent="0.35">
      <c r="A18" s="11" t="s">
        <v>97</v>
      </c>
      <c r="B18" s="5"/>
      <c r="C18" s="6" t="s">
        <v>101</v>
      </c>
      <c r="D18" s="3" t="s">
        <v>736</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row>
    <row r="32" spans="1:4" ht="15" customHeight="1" x14ac:dyDescent="0.35">
      <c r="A32" s="11" t="s">
        <v>85</v>
      </c>
      <c r="B32" s="5"/>
      <c r="C32" s="6" t="s">
        <v>671</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682</v>
      </c>
    </row>
    <row r="43" spans="1:4" ht="15" customHeight="1" x14ac:dyDescent="0.35">
      <c r="A43" s="11" t="s">
        <v>107</v>
      </c>
      <c r="B43" s="5"/>
      <c r="C43" s="6" t="s">
        <v>126</v>
      </c>
      <c r="D43" s="4" t="s">
        <v>683</v>
      </c>
    </row>
    <row r="44" spans="1:4" ht="15" customHeight="1" x14ac:dyDescent="0.35">
      <c r="A44" s="11" t="s">
        <v>108</v>
      </c>
      <c r="B44" s="5"/>
      <c r="C44" s="6" t="s">
        <v>127</v>
      </c>
      <c r="D44" s="4" t="s">
        <v>321</v>
      </c>
    </row>
    <row r="45" spans="1:4" ht="15" customHeight="1" x14ac:dyDescent="0.35">
      <c r="A45" s="11" t="s">
        <v>109</v>
      </c>
      <c r="B45" s="5"/>
      <c r="C45" s="6" t="s">
        <v>128</v>
      </c>
      <c r="D45" s="4"/>
    </row>
    <row r="46" spans="1:4" ht="15" customHeight="1" x14ac:dyDescent="0.35">
      <c r="A46" s="11" t="s">
        <v>110</v>
      </c>
      <c r="B46" s="5"/>
      <c r="C46" s="6" t="s">
        <v>129</v>
      </c>
      <c r="D46" s="4"/>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657</v>
      </c>
    </row>
    <row r="54" spans="1:4" ht="15" customHeight="1" x14ac:dyDescent="0.35">
      <c r="A54" s="11" t="s">
        <v>134</v>
      </c>
      <c r="B54" s="5"/>
      <c r="C54" s="6" t="s">
        <v>355</v>
      </c>
      <c r="D54" s="4" t="s">
        <v>662</v>
      </c>
    </row>
    <row r="55" spans="1:4" ht="15" customHeight="1" x14ac:dyDescent="0.35">
      <c r="A55" s="11" t="s">
        <v>135</v>
      </c>
      <c r="B55" s="5"/>
      <c r="C55" s="6" t="s">
        <v>356</v>
      </c>
      <c r="D55" s="4" t="s">
        <v>664</v>
      </c>
    </row>
    <row r="56" spans="1:4" ht="15" customHeight="1" x14ac:dyDescent="0.35">
      <c r="A56" s="11" t="s">
        <v>136</v>
      </c>
      <c r="B56" s="5"/>
      <c r="C56" s="6" t="s">
        <v>474</v>
      </c>
      <c r="D56" s="4" t="s">
        <v>663</v>
      </c>
    </row>
    <row r="57" spans="1:4" ht="15" customHeight="1" x14ac:dyDescent="0.35">
      <c r="A57" s="11"/>
      <c r="B57" s="5"/>
      <c r="C57" s="5"/>
      <c r="D57" s="5"/>
    </row>
    <row r="58" spans="1:4" ht="15" customHeight="1" x14ac:dyDescent="0.35">
      <c r="A58" s="11" t="s">
        <v>137</v>
      </c>
      <c r="B58" s="5"/>
      <c r="C58" s="6" t="s">
        <v>354</v>
      </c>
      <c r="D58" s="3" t="s">
        <v>56</v>
      </c>
    </row>
    <row r="59" spans="1:4" ht="15" customHeight="1" x14ac:dyDescent="0.35">
      <c r="A59" s="11" t="s">
        <v>138</v>
      </c>
      <c r="B59" s="5"/>
      <c r="C59" s="6" t="s">
        <v>357</v>
      </c>
      <c r="D59" s="4" t="s">
        <v>26</v>
      </c>
    </row>
    <row r="60" spans="1:4" ht="15" customHeight="1" x14ac:dyDescent="0.35">
      <c r="A60" s="11" t="s">
        <v>472</v>
      </c>
      <c r="B60" s="5"/>
      <c r="C60" s="6" t="s">
        <v>358</v>
      </c>
      <c r="D60" s="4" t="s">
        <v>27</v>
      </c>
    </row>
    <row r="61" spans="1:4" ht="15" customHeight="1" x14ac:dyDescent="0.35">
      <c r="A61" s="11" t="s">
        <v>473</v>
      </c>
      <c r="C61" s="6" t="s">
        <v>475</v>
      </c>
      <c r="D61" s="4" t="s">
        <v>30</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35" zoomScaleNormal="100" workbookViewId="0">
      <selection activeCell="H12" sqref="H12"/>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PIERPAOLO RIVA;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684</v>
      </c>
    </row>
    <row r="13" spans="1:4" ht="15" customHeight="1" x14ac:dyDescent="0.35">
      <c r="A13" s="11" t="s">
        <v>148</v>
      </c>
      <c r="B13" s="5"/>
      <c r="C13" s="6" t="s">
        <v>143</v>
      </c>
      <c r="D13" s="3" t="s">
        <v>685</v>
      </c>
    </row>
    <row r="14" spans="1:4" ht="15" customHeight="1" x14ac:dyDescent="0.35">
      <c r="A14" s="11" t="s">
        <v>149</v>
      </c>
      <c r="B14" s="5"/>
      <c r="C14" s="6" t="s">
        <v>144</v>
      </c>
      <c r="D14" s="3" t="s">
        <v>686</v>
      </c>
    </row>
    <row r="15" spans="1:4" ht="45" customHeight="1" x14ac:dyDescent="0.35">
      <c r="A15" s="16" t="s">
        <v>150</v>
      </c>
      <c r="B15" s="5"/>
      <c r="C15" s="18" t="s">
        <v>145</v>
      </c>
      <c r="D15" s="14" t="s">
        <v>725</v>
      </c>
    </row>
    <row r="16" spans="1:4" ht="15" customHeight="1" x14ac:dyDescent="0.35">
      <c r="A16" s="11" t="s">
        <v>151</v>
      </c>
      <c r="B16" s="5"/>
      <c r="C16" s="6" t="s">
        <v>146</v>
      </c>
      <c r="D16" s="3" t="s">
        <v>687</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row>
    <row r="38" spans="1:4" ht="15" customHeight="1" x14ac:dyDescent="0.35">
      <c r="A38" s="11" t="s">
        <v>168</v>
      </c>
      <c r="B38" s="5"/>
      <c r="C38" s="6" t="s">
        <v>166</v>
      </c>
      <c r="D38" s="4"/>
    </row>
    <row r="39" spans="1:4" ht="15" customHeight="1" x14ac:dyDescent="0.35">
      <c r="A39" s="11" t="s">
        <v>169</v>
      </c>
      <c r="B39" s="5"/>
      <c r="C39" s="6" t="s">
        <v>144</v>
      </c>
      <c r="D39" s="4"/>
    </row>
    <row r="40" spans="1:4" ht="45" customHeight="1" x14ac:dyDescent="0.35">
      <c r="A40" s="16" t="s">
        <v>170</v>
      </c>
      <c r="B40" s="5"/>
      <c r="C40" s="18" t="s">
        <v>145</v>
      </c>
      <c r="D40" s="15"/>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t="s">
        <v>688</v>
      </c>
    </row>
    <row r="46" spans="1:4" ht="15" customHeight="1" x14ac:dyDescent="0.35">
      <c r="A46" s="11" t="s">
        <v>179</v>
      </c>
      <c r="B46" s="5"/>
      <c r="C46" s="6" t="s">
        <v>166</v>
      </c>
      <c r="D46" s="4" t="s">
        <v>689</v>
      </c>
    </row>
    <row r="47" spans="1:4" ht="15" customHeight="1" x14ac:dyDescent="0.35">
      <c r="A47" s="11" t="s">
        <v>180</v>
      </c>
      <c r="B47" s="5"/>
      <c r="C47" s="6" t="s">
        <v>144</v>
      </c>
      <c r="D47" s="4" t="s">
        <v>690</v>
      </c>
    </row>
    <row r="48" spans="1:4" ht="45" customHeight="1" x14ac:dyDescent="0.35">
      <c r="A48" s="16" t="s">
        <v>181</v>
      </c>
      <c r="B48" s="5"/>
      <c r="C48" s="18" t="s">
        <v>145</v>
      </c>
      <c r="D48" s="15"/>
    </row>
    <row r="49" spans="1:4" ht="15" customHeight="1" x14ac:dyDescent="0.35">
      <c r="A49" s="11" t="s">
        <v>182</v>
      </c>
      <c r="B49" s="5"/>
      <c r="C49" s="6" t="s">
        <v>146</v>
      </c>
      <c r="D49" s="4" t="s">
        <v>726</v>
      </c>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110" zoomScaleNormal="100" workbookViewId="0">
      <selection activeCell="D69" sqref="D69"/>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PIERPAOLO RIVA; </v>
      </c>
    </row>
    <row r="8" spans="1:4" ht="15" customHeight="1" x14ac:dyDescent="0.35">
      <c r="A8" s="11"/>
      <c r="B8" s="5"/>
      <c r="C8" s="5"/>
      <c r="D8" s="5"/>
    </row>
    <row r="9" spans="1:4" ht="20" x14ac:dyDescent="0.35">
      <c r="A9" s="11"/>
      <c r="B9" s="5"/>
      <c r="C9" s="33" t="s">
        <v>660</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37987</v>
      </c>
    </row>
    <row r="13" spans="1:4" ht="15" customHeight="1" x14ac:dyDescent="0.35">
      <c r="A13" s="11" t="s">
        <v>189</v>
      </c>
      <c r="B13" s="5"/>
      <c r="C13" s="6" t="s">
        <v>492</v>
      </c>
      <c r="D13" s="31" t="s">
        <v>691</v>
      </c>
    </row>
    <row r="14" spans="1:4" ht="15" customHeight="1" x14ac:dyDescent="0.35">
      <c r="A14" s="11" t="s">
        <v>190</v>
      </c>
      <c r="B14" s="5"/>
      <c r="C14" s="6" t="s">
        <v>377</v>
      </c>
      <c r="D14" s="3" t="s">
        <v>692</v>
      </c>
    </row>
    <row r="15" spans="1:4" ht="15" customHeight="1" x14ac:dyDescent="0.35">
      <c r="A15" s="11" t="s">
        <v>191</v>
      </c>
      <c r="B15" s="5"/>
      <c r="C15" s="6" t="s">
        <v>376</v>
      </c>
      <c r="D15" s="3" t="s">
        <v>680</v>
      </c>
    </row>
    <row r="16" spans="1:4" ht="15" customHeight="1" x14ac:dyDescent="0.35">
      <c r="A16" s="11" t="s">
        <v>192</v>
      </c>
      <c r="B16" s="5"/>
      <c r="C16" s="6" t="s">
        <v>558</v>
      </c>
      <c r="D16" s="3" t="s">
        <v>681</v>
      </c>
    </row>
    <row r="17" spans="1:4" ht="15" customHeight="1" x14ac:dyDescent="0.35">
      <c r="A17" s="11" t="s">
        <v>193</v>
      </c>
      <c r="B17" s="5"/>
      <c r="C17" s="6" t="s">
        <v>198</v>
      </c>
      <c r="D17" s="3" t="s">
        <v>199</v>
      </c>
    </row>
    <row r="18" spans="1:4" ht="15" customHeight="1" x14ac:dyDescent="0.35">
      <c r="A18" s="11" t="s">
        <v>194</v>
      </c>
      <c r="B18" s="5"/>
      <c r="C18" s="6" t="s">
        <v>186</v>
      </c>
      <c r="D18" s="3" t="s">
        <v>693</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732</v>
      </c>
    </row>
    <row r="22" spans="1:4" s="28" customFormat="1" ht="45" customHeight="1" x14ac:dyDescent="0.35">
      <c r="A22" s="16" t="s">
        <v>212</v>
      </c>
      <c r="B22" s="17"/>
      <c r="C22" s="18" t="s">
        <v>187</v>
      </c>
      <c r="D22" s="14" t="s">
        <v>733</v>
      </c>
    </row>
    <row r="24" spans="1:4" ht="15" customHeight="1" x14ac:dyDescent="0.35">
      <c r="A24" s="11" t="s">
        <v>213</v>
      </c>
      <c r="B24" s="5"/>
      <c r="C24" s="6" t="s">
        <v>491</v>
      </c>
      <c r="D24" s="30">
        <v>42811</v>
      </c>
    </row>
    <row r="25" spans="1:4" ht="15" customHeight="1" x14ac:dyDescent="0.35">
      <c r="A25" s="11" t="s">
        <v>214</v>
      </c>
      <c r="B25" s="5"/>
      <c r="C25" s="6" t="s">
        <v>492</v>
      </c>
      <c r="D25" s="30" t="s">
        <v>691</v>
      </c>
    </row>
    <row r="26" spans="1:4" ht="15" customHeight="1" x14ac:dyDescent="0.35">
      <c r="A26" s="11" t="s">
        <v>215</v>
      </c>
      <c r="B26" s="5"/>
      <c r="C26" s="6" t="s">
        <v>378</v>
      </c>
      <c r="D26" s="4" t="s">
        <v>694</v>
      </c>
    </row>
    <row r="27" spans="1:4" ht="15" customHeight="1" x14ac:dyDescent="0.35">
      <c r="A27" s="11" t="s">
        <v>216</v>
      </c>
      <c r="B27" s="5"/>
      <c r="C27" s="6" t="s">
        <v>376</v>
      </c>
      <c r="D27" s="4" t="s">
        <v>680</v>
      </c>
    </row>
    <row r="28" spans="1:4" ht="15" customHeight="1" x14ac:dyDescent="0.35">
      <c r="A28" s="11" t="s">
        <v>217</v>
      </c>
      <c r="B28" s="5"/>
      <c r="C28" s="6" t="s">
        <v>558</v>
      </c>
      <c r="D28" s="4" t="s">
        <v>681</v>
      </c>
    </row>
    <row r="29" spans="1:4" ht="15" customHeight="1" x14ac:dyDescent="0.35">
      <c r="A29" s="11" t="s">
        <v>218</v>
      </c>
      <c r="B29" s="5"/>
      <c r="C29" s="6" t="s">
        <v>198</v>
      </c>
      <c r="D29" s="4" t="s">
        <v>205</v>
      </c>
    </row>
    <row r="30" spans="1:4" ht="15" customHeight="1" x14ac:dyDescent="0.35">
      <c r="A30" s="11" t="s">
        <v>219</v>
      </c>
      <c r="B30" s="5"/>
      <c r="C30" s="6" t="s">
        <v>186</v>
      </c>
      <c r="D30" s="4"/>
    </row>
    <row r="31" spans="1:4" ht="15" customHeight="1" x14ac:dyDescent="0.35">
      <c r="A31" s="11" t="s">
        <v>220</v>
      </c>
      <c r="B31" s="5"/>
      <c r="C31" s="6" t="s">
        <v>484</v>
      </c>
      <c r="D31" s="4" t="s">
        <v>487</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730</v>
      </c>
    </row>
    <row r="34" spans="1:4" s="28" customFormat="1" ht="45" customHeight="1" x14ac:dyDescent="0.35">
      <c r="A34" s="16" t="s">
        <v>223</v>
      </c>
      <c r="B34" s="17"/>
      <c r="C34" s="18" t="s">
        <v>187</v>
      </c>
      <c r="D34" s="15" t="s">
        <v>731</v>
      </c>
    </row>
    <row r="36" spans="1:4" ht="15" customHeight="1" x14ac:dyDescent="0.35">
      <c r="A36" s="11" t="s">
        <v>224</v>
      </c>
      <c r="B36" s="5"/>
      <c r="C36" s="6" t="s">
        <v>491</v>
      </c>
      <c r="D36" s="32" t="s">
        <v>708</v>
      </c>
    </row>
    <row r="37" spans="1:4" ht="15" customHeight="1" x14ac:dyDescent="0.35">
      <c r="A37" s="11" t="s">
        <v>225</v>
      </c>
      <c r="B37" s="5"/>
      <c r="C37" s="6" t="s">
        <v>492</v>
      </c>
      <c r="D37" s="32" t="s">
        <v>691</v>
      </c>
    </row>
    <row r="38" spans="1:4" ht="15" customHeight="1" x14ac:dyDescent="0.35">
      <c r="A38" s="11" t="s">
        <v>226</v>
      </c>
      <c r="B38" s="5"/>
      <c r="C38" s="6" t="s">
        <v>379</v>
      </c>
      <c r="D38" s="4" t="s">
        <v>709</v>
      </c>
    </row>
    <row r="39" spans="1:4" ht="15" customHeight="1" x14ac:dyDescent="0.35">
      <c r="A39" s="11" t="s">
        <v>227</v>
      </c>
      <c r="B39" s="5"/>
      <c r="C39" s="6" t="s">
        <v>376</v>
      </c>
      <c r="D39" s="4" t="s">
        <v>710</v>
      </c>
    </row>
    <row r="40" spans="1:4" ht="15" customHeight="1" x14ac:dyDescent="0.35">
      <c r="A40" s="11" t="s">
        <v>228</v>
      </c>
      <c r="B40" s="5"/>
      <c r="C40" s="6" t="s">
        <v>558</v>
      </c>
      <c r="D40" s="4" t="s">
        <v>711</v>
      </c>
    </row>
    <row r="41" spans="1:4" ht="15" customHeight="1" x14ac:dyDescent="0.35">
      <c r="A41" s="11" t="s">
        <v>229</v>
      </c>
      <c r="B41" s="5"/>
      <c r="C41" s="6" t="s">
        <v>198</v>
      </c>
      <c r="D41" s="4" t="s">
        <v>201</v>
      </c>
    </row>
    <row r="42" spans="1:4" ht="15" customHeight="1" x14ac:dyDescent="0.35">
      <c r="A42" s="11" t="s">
        <v>230</v>
      </c>
      <c r="B42" s="5"/>
      <c r="C42" s="6" t="s">
        <v>186</v>
      </c>
      <c r="D42" s="4" t="s">
        <v>712</v>
      </c>
    </row>
    <row r="43" spans="1:4" ht="15" customHeight="1" x14ac:dyDescent="0.35">
      <c r="A43" s="11" t="s">
        <v>231</v>
      </c>
      <c r="B43" s="5"/>
      <c r="C43" s="6" t="s">
        <v>484</v>
      </c>
      <c r="D43" s="4" t="s">
        <v>486</v>
      </c>
    </row>
    <row r="44" spans="1:4" ht="15" customHeight="1" x14ac:dyDescent="0.35">
      <c r="A44" s="11" t="s">
        <v>232</v>
      </c>
      <c r="B44" s="5"/>
      <c r="C44" s="6" t="s">
        <v>488</v>
      </c>
      <c r="D44" s="4" t="s">
        <v>353</v>
      </c>
    </row>
    <row r="45" spans="1:4" s="28" customFormat="1" ht="75" customHeight="1" x14ac:dyDescent="0.35">
      <c r="A45" s="16" t="s">
        <v>233</v>
      </c>
      <c r="B45" s="17"/>
      <c r="C45" s="18" t="s">
        <v>197</v>
      </c>
      <c r="D45" s="15" t="s">
        <v>713</v>
      </c>
    </row>
    <row r="46" spans="1:4" s="28" customFormat="1" ht="45" customHeight="1" x14ac:dyDescent="0.35">
      <c r="A46" s="16" t="s">
        <v>234</v>
      </c>
      <c r="B46" s="17"/>
      <c r="C46" s="18" t="s">
        <v>187</v>
      </c>
      <c r="D46" s="15" t="s">
        <v>714</v>
      </c>
    </row>
    <row r="48" spans="1:4" ht="15" customHeight="1" x14ac:dyDescent="0.35">
      <c r="A48" s="11" t="s">
        <v>235</v>
      </c>
      <c r="B48" s="5"/>
      <c r="C48" s="6" t="s">
        <v>491</v>
      </c>
      <c r="D48" s="32" t="s">
        <v>700</v>
      </c>
    </row>
    <row r="49" spans="1:4" ht="15" customHeight="1" x14ac:dyDescent="0.35">
      <c r="A49" s="11" t="s">
        <v>236</v>
      </c>
      <c r="B49" s="5"/>
      <c r="C49" s="6" t="s">
        <v>492</v>
      </c>
      <c r="D49" s="32" t="s">
        <v>701</v>
      </c>
    </row>
    <row r="50" spans="1:4" ht="15" customHeight="1" x14ac:dyDescent="0.35">
      <c r="A50" s="11" t="s">
        <v>237</v>
      </c>
      <c r="B50" s="5"/>
      <c r="C50" s="6" t="s">
        <v>380</v>
      </c>
      <c r="D50" s="4" t="s">
        <v>702</v>
      </c>
    </row>
    <row r="51" spans="1:4" ht="15" customHeight="1" x14ac:dyDescent="0.35">
      <c r="A51" s="11" t="s">
        <v>238</v>
      </c>
      <c r="B51" s="5"/>
      <c r="C51" s="6" t="s">
        <v>376</v>
      </c>
      <c r="D51" s="4" t="s">
        <v>703</v>
      </c>
    </row>
    <row r="52" spans="1:4" ht="15" customHeight="1" x14ac:dyDescent="0.35">
      <c r="A52" s="11" t="s">
        <v>239</v>
      </c>
      <c r="B52" s="5"/>
      <c r="C52" s="6" t="s">
        <v>558</v>
      </c>
      <c r="D52" s="4" t="s">
        <v>704</v>
      </c>
    </row>
    <row r="53" spans="1:4" ht="15" customHeight="1" x14ac:dyDescent="0.35">
      <c r="A53" s="11" t="s">
        <v>240</v>
      </c>
      <c r="B53" s="5"/>
      <c r="C53" s="6" t="s">
        <v>198</v>
      </c>
      <c r="D53" s="4" t="s">
        <v>205</v>
      </c>
    </row>
    <row r="54" spans="1:4" ht="15" customHeight="1" x14ac:dyDescent="0.35">
      <c r="A54" s="11" t="s">
        <v>241</v>
      </c>
      <c r="B54" s="5"/>
      <c r="C54" s="6" t="s">
        <v>186</v>
      </c>
      <c r="D54" s="4" t="s">
        <v>705</v>
      </c>
    </row>
    <row r="55" spans="1:4" ht="15" customHeight="1" x14ac:dyDescent="0.35">
      <c r="A55" s="11" t="s">
        <v>242</v>
      </c>
      <c r="B55" s="5"/>
      <c r="C55" s="6" t="s">
        <v>484</v>
      </c>
      <c r="D55" s="4" t="s">
        <v>487</v>
      </c>
    </row>
    <row r="56" spans="1:4" ht="15" customHeight="1" x14ac:dyDescent="0.35">
      <c r="A56" s="11" t="s">
        <v>243</v>
      </c>
      <c r="B56" s="5"/>
      <c r="C56" s="6" t="s">
        <v>488</v>
      </c>
      <c r="D56" s="4" t="s">
        <v>353</v>
      </c>
    </row>
    <row r="57" spans="1:4" s="28" customFormat="1" ht="75" customHeight="1" x14ac:dyDescent="0.35">
      <c r="A57" s="16" t="s">
        <v>244</v>
      </c>
      <c r="B57" s="17"/>
      <c r="C57" s="18" t="s">
        <v>197</v>
      </c>
      <c r="D57" s="15" t="s">
        <v>721</v>
      </c>
    </row>
    <row r="58" spans="1:4" s="28" customFormat="1" ht="45" customHeight="1" x14ac:dyDescent="0.35">
      <c r="A58" s="16" t="s">
        <v>245</v>
      </c>
      <c r="B58" s="17"/>
      <c r="C58" s="18" t="s">
        <v>187</v>
      </c>
      <c r="D58" s="15" t="s">
        <v>715</v>
      </c>
    </row>
    <row r="60" spans="1:4" ht="15" customHeight="1" x14ac:dyDescent="0.35">
      <c r="A60" s="11" t="s">
        <v>246</v>
      </c>
      <c r="B60" s="5"/>
      <c r="C60" s="6" t="s">
        <v>491</v>
      </c>
      <c r="D60" s="32" t="s">
        <v>695</v>
      </c>
    </row>
    <row r="61" spans="1:4" ht="15" customHeight="1" x14ac:dyDescent="0.35">
      <c r="A61" s="11" t="s">
        <v>247</v>
      </c>
      <c r="B61" s="5"/>
      <c r="C61" s="6" t="s">
        <v>492</v>
      </c>
      <c r="D61" s="32" t="s">
        <v>696</v>
      </c>
    </row>
    <row r="62" spans="1:4" ht="15" customHeight="1" x14ac:dyDescent="0.35">
      <c r="A62" s="11" t="s">
        <v>248</v>
      </c>
      <c r="B62" s="5"/>
      <c r="C62" s="6" t="s">
        <v>381</v>
      </c>
      <c r="D62" s="4" t="s">
        <v>697</v>
      </c>
    </row>
    <row r="63" spans="1:4" ht="15" customHeight="1" x14ac:dyDescent="0.35">
      <c r="A63" s="11" t="s">
        <v>249</v>
      </c>
      <c r="B63" s="5"/>
      <c r="C63" s="6" t="s">
        <v>376</v>
      </c>
      <c r="D63" s="4" t="s">
        <v>698</v>
      </c>
    </row>
    <row r="64" spans="1:4" ht="15" customHeight="1" x14ac:dyDescent="0.35">
      <c r="A64" s="11" t="s">
        <v>250</v>
      </c>
      <c r="B64" s="5"/>
      <c r="C64" s="6" t="s">
        <v>558</v>
      </c>
      <c r="D64" s="4" t="s">
        <v>681</v>
      </c>
    </row>
    <row r="65" spans="1:4" ht="15" customHeight="1" x14ac:dyDescent="0.35">
      <c r="A65" s="11" t="s">
        <v>251</v>
      </c>
      <c r="B65" s="5"/>
      <c r="C65" s="6" t="s">
        <v>198</v>
      </c>
      <c r="D65" s="4" t="s">
        <v>206</v>
      </c>
    </row>
    <row r="66" spans="1:4" ht="15" customHeight="1" x14ac:dyDescent="0.35">
      <c r="A66" s="11" t="s">
        <v>252</v>
      </c>
      <c r="B66" s="5"/>
      <c r="C66" s="6" t="s">
        <v>186</v>
      </c>
      <c r="D66" s="4" t="s">
        <v>699</v>
      </c>
    </row>
    <row r="67" spans="1:4" ht="15" customHeight="1" x14ac:dyDescent="0.35">
      <c r="A67" s="11" t="s">
        <v>253</v>
      </c>
      <c r="B67" s="5"/>
      <c r="C67" s="6" t="s">
        <v>484</v>
      </c>
      <c r="D67" s="4" t="s">
        <v>486</v>
      </c>
    </row>
    <row r="68" spans="1:4" ht="15" customHeight="1" x14ac:dyDescent="0.35">
      <c r="A68" s="11" t="s">
        <v>254</v>
      </c>
      <c r="B68" s="5"/>
      <c r="C68" s="6" t="s">
        <v>488</v>
      </c>
      <c r="D68" s="4" t="s">
        <v>490</v>
      </c>
    </row>
    <row r="69" spans="1:4" s="28" customFormat="1" ht="75" customHeight="1" x14ac:dyDescent="0.35">
      <c r="A69" s="16" t="s">
        <v>255</v>
      </c>
      <c r="B69" s="17"/>
      <c r="C69" s="18" t="s">
        <v>197</v>
      </c>
      <c r="D69" s="15" t="s">
        <v>722</v>
      </c>
    </row>
    <row r="70" spans="1:4" s="28" customFormat="1" ht="45" customHeight="1" x14ac:dyDescent="0.35">
      <c r="A70" s="16" t="s">
        <v>256</v>
      </c>
      <c r="B70" s="17"/>
      <c r="C70" s="18" t="s">
        <v>187</v>
      </c>
      <c r="D70" s="15" t="s">
        <v>720</v>
      </c>
    </row>
    <row r="72" spans="1:4" ht="15" customHeight="1" x14ac:dyDescent="0.35">
      <c r="A72" s="11" t="s">
        <v>257</v>
      </c>
      <c r="B72" s="5"/>
      <c r="C72" s="6" t="s">
        <v>491</v>
      </c>
      <c r="D72" s="32" t="s">
        <v>716</v>
      </c>
    </row>
    <row r="73" spans="1:4" ht="15" customHeight="1" x14ac:dyDescent="0.35">
      <c r="A73" s="11" t="s">
        <v>258</v>
      </c>
      <c r="B73" s="5"/>
      <c r="C73" s="6" t="s">
        <v>492</v>
      </c>
      <c r="D73" s="32" t="s">
        <v>717</v>
      </c>
    </row>
    <row r="74" spans="1:4" ht="15" customHeight="1" x14ac:dyDescent="0.35">
      <c r="A74" s="11" t="s">
        <v>259</v>
      </c>
      <c r="B74" s="5"/>
      <c r="C74" s="6" t="s">
        <v>382</v>
      </c>
      <c r="D74" s="4" t="s">
        <v>718</v>
      </c>
    </row>
    <row r="75" spans="1:4" ht="15" customHeight="1" x14ac:dyDescent="0.35">
      <c r="A75" s="11" t="s">
        <v>260</v>
      </c>
      <c r="B75" s="5"/>
      <c r="C75" s="6" t="s">
        <v>376</v>
      </c>
      <c r="D75" s="4" t="s">
        <v>698</v>
      </c>
    </row>
    <row r="76" spans="1:4" ht="15" customHeight="1" x14ac:dyDescent="0.35">
      <c r="A76" s="11" t="s">
        <v>261</v>
      </c>
      <c r="B76" s="5"/>
      <c r="C76" s="6" t="s">
        <v>558</v>
      </c>
      <c r="D76" s="4" t="s">
        <v>681</v>
      </c>
    </row>
    <row r="77" spans="1:4" ht="15" customHeight="1" x14ac:dyDescent="0.35">
      <c r="A77" s="11" t="s">
        <v>262</v>
      </c>
      <c r="B77" s="5"/>
      <c r="C77" s="6" t="s">
        <v>198</v>
      </c>
      <c r="D77" s="4" t="s">
        <v>206</v>
      </c>
    </row>
    <row r="78" spans="1:4" ht="15" customHeight="1" x14ac:dyDescent="0.35">
      <c r="A78" s="11" t="s">
        <v>263</v>
      </c>
      <c r="B78" s="5"/>
      <c r="C78" s="6" t="s">
        <v>186</v>
      </c>
      <c r="D78" s="4" t="s">
        <v>699</v>
      </c>
    </row>
    <row r="79" spans="1:4" ht="15" customHeight="1" x14ac:dyDescent="0.35">
      <c r="A79" s="11" t="s">
        <v>264</v>
      </c>
      <c r="B79" s="5"/>
      <c r="C79" s="6" t="s">
        <v>484</v>
      </c>
      <c r="D79" s="4" t="s">
        <v>486</v>
      </c>
    </row>
    <row r="80" spans="1:4" ht="15" customHeight="1" x14ac:dyDescent="0.35">
      <c r="A80" s="11" t="s">
        <v>265</v>
      </c>
      <c r="B80" s="5"/>
      <c r="C80" s="6" t="s">
        <v>488</v>
      </c>
      <c r="D80" s="4" t="s">
        <v>490</v>
      </c>
    </row>
    <row r="81" spans="1:4" s="28" customFormat="1" ht="75" customHeight="1" x14ac:dyDescent="0.35">
      <c r="A81" s="16" t="s">
        <v>266</v>
      </c>
      <c r="B81" s="17"/>
      <c r="C81" s="18" t="s">
        <v>197</v>
      </c>
      <c r="D81" s="15" t="s">
        <v>723</v>
      </c>
    </row>
    <row r="82" spans="1:4" s="28" customFormat="1" ht="45" customHeight="1" x14ac:dyDescent="0.35">
      <c r="A82" s="16" t="s">
        <v>267</v>
      </c>
      <c r="B82" s="17"/>
      <c r="C82" s="18" t="s">
        <v>187</v>
      </c>
      <c r="D82" s="15" t="s">
        <v>719</v>
      </c>
    </row>
    <row r="84" spans="1:4" ht="15" customHeight="1" x14ac:dyDescent="0.35">
      <c r="A84" s="11" t="s">
        <v>268</v>
      </c>
      <c r="B84" s="5"/>
      <c r="C84" s="6" t="s">
        <v>491</v>
      </c>
      <c r="D84" s="32" t="s">
        <v>658</v>
      </c>
    </row>
    <row r="85" spans="1:4" ht="15" customHeight="1" x14ac:dyDescent="0.35">
      <c r="A85" s="11" t="s">
        <v>269</v>
      </c>
      <c r="B85" s="5"/>
      <c r="C85" s="6" t="s">
        <v>492</v>
      </c>
      <c r="D85" s="32" t="s">
        <v>658</v>
      </c>
    </row>
    <row r="86" spans="1:4" ht="15" customHeight="1" x14ac:dyDescent="0.35">
      <c r="A86" s="11" t="s">
        <v>270</v>
      </c>
      <c r="B86" s="5"/>
      <c r="C86" s="6" t="s">
        <v>383</v>
      </c>
      <c r="D86" s="4"/>
    </row>
    <row r="87" spans="1:4" ht="15" customHeight="1" x14ac:dyDescent="0.35">
      <c r="A87" s="11" t="s">
        <v>271</v>
      </c>
      <c r="B87" s="5"/>
      <c r="C87" s="6" t="s">
        <v>376</v>
      </c>
      <c r="D87" s="4"/>
    </row>
    <row r="88" spans="1:4" ht="15" customHeight="1" x14ac:dyDescent="0.35">
      <c r="A88" s="11" t="s">
        <v>272</v>
      </c>
      <c r="B88" s="5"/>
      <c r="C88" s="6" t="s">
        <v>558</v>
      </c>
      <c r="D88" s="4"/>
    </row>
    <row r="89" spans="1:4" ht="15" customHeight="1" x14ac:dyDescent="0.35">
      <c r="A89" s="11" t="s">
        <v>273</v>
      </c>
      <c r="B89" s="5"/>
      <c r="C89" s="6" t="s">
        <v>198</v>
      </c>
      <c r="D89" s="4"/>
    </row>
    <row r="90" spans="1:4" ht="15" customHeight="1" x14ac:dyDescent="0.35">
      <c r="A90" s="11" t="s">
        <v>274</v>
      </c>
      <c r="B90" s="5"/>
      <c r="C90" s="6" t="s">
        <v>186</v>
      </c>
      <c r="D90" s="4"/>
    </row>
    <row r="91" spans="1:4" ht="15" customHeight="1" x14ac:dyDescent="0.35">
      <c r="A91" s="11" t="s">
        <v>275</v>
      </c>
      <c r="B91" s="5"/>
      <c r="C91" s="6" t="s">
        <v>484</v>
      </c>
      <c r="D91" s="4"/>
    </row>
    <row r="92" spans="1:4" ht="15" customHeight="1" x14ac:dyDescent="0.35">
      <c r="A92" s="11" t="s">
        <v>276</v>
      </c>
      <c r="B92" s="5"/>
      <c r="C92" s="6" t="s">
        <v>488</v>
      </c>
      <c r="D92" s="4"/>
    </row>
    <row r="93" spans="1:4" s="28" customFormat="1" ht="75" customHeight="1" x14ac:dyDescent="0.35">
      <c r="A93" s="16" t="s">
        <v>277</v>
      </c>
      <c r="B93" s="17"/>
      <c r="C93" s="18" t="s">
        <v>197</v>
      </c>
      <c r="D93" s="15"/>
    </row>
    <row r="94" spans="1:4" s="28" customFormat="1" ht="45" customHeight="1" x14ac:dyDescent="0.35">
      <c r="A94" s="16" t="s">
        <v>278</v>
      </c>
      <c r="B94" s="17"/>
      <c r="C94" s="18" t="s">
        <v>187</v>
      </c>
      <c r="D94" s="15"/>
    </row>
    <row r="96" spans="1:4" ht="15" customHeight="1" x14ac:dyDescent="0.35">
      <c r="A96" s="11" t="s">
        <v>279</v>
      </c>
      <c r="B96" s="5"/>
      <c r="C96" s="6" t="s">
        <v>491</v>
      </c>
      <c r="D96" s="32" t="s">
        <v>658</v>
      </c>
    </row>
    <row r="97" spans="1:4" ht="15" customHeight="1" x14ac:dyDescent="0.35">
      <c r="A97" s="11" t="s">
        <v>280</v>
      </c>
      <c r="B97" s="5"/>
      <c r="C97" s="6" t="s">
        <v>492</v>
      </c>
      <c r="D97" s="32"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zoomScaleNormal="100" workbookViewId="0">
      <selection activeCell="G15" sqref="G1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PIERPAOLO RIVA; </v>
      </c>
    </row>
    <row r="8" spans="1:4" ht="15" customHeight="1" x14ac:dyDescent="0.35">
      <c r="A8" s="11"/>
      <c r="B8" s="5"/>
      <c r="C8" s="5"/>
      <c r="D8" s="5"/>
    </row>
    <row r="9" spans="1:4" ht="20" x14ac:dyDescent="0.35">
      <c r="A9" s="11"/>
      <c r="B9" s="5"/>
      <c r="C9" s="33" t="s">
        <v>661</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706</v>
      </c>
    </row>
    <row r="13" spans="1:4" ht="15" customHeight="1" x14ac:dyDescent="0.35">
      <c r="A13" s="11" t="s">
        <v>403</v>
      </c>
      <c r="B13" s="5"/>
      <c r="C13" s="6" t="s">
        <v>388</v>
      </c>
      <c r="D13" s="4" t="s">
        <v>394</v>
      </c>
    </row>
    <row r="14" spans="1:4" ht="15" customHeight="1" x14ac:dyDescent="0.35">
      <c r="A14" s="11" t="s">
        <v>404</v>
      </c>
      <c r="B14" s="5"/>
      <c r="C14" s="6" t="s">
        <v>389</v>
      </c>
      <c r="D14" s="4" t="s">
        <v>395</v>
      </c>
    </row>
    <row r="15" spans="1:4" ht="60" customHeight="1" x14ac:dyDescent="0.35">
      <c r="A15" s="16" t="s">
        <v>405</v>
      </c>
      <c r="B15" s="17"/>
      <c r="C15" s="18" t="s">
        <v>672</v>
      </c>
      <c r="D15" s="15" t="s">
        <v>728</v>
      </c>
    </row>
    <row r="16" spans="1:4" ht="60" customHeight="1" x14ac:dyDescent="0.35">
      <c r="A16" s="16" t="s">
        <v>406</v>
      </c>
      <c r="B16" s="17"/>
      <c r="C16" s="18" t="s">
        <v>673</v>
      </c>
      <c r="D16" s="15" t="s">
        <v>729</v>
      </c>
    </row>
    <row r="17" spans="1:4" ht="15" customHeight="1" x14ac:dyDescent="0.35">
      <c r="A17" s="11" t="s">
        <v>407</v>
      </c>
      <c r="B17" s="5"/>
      <c r="C17" s="6" t="s">
        <v>348</v>
      </c>
      <c r="D17" s="4" t="s">
        <v>707</v>
      </c>
    </row>
    <row r="18" spans="1:4" ht="15" customHeight="1" x14ac:dyDescent="0.35">
      <c r="A18" s="11" t="s">
        <v>408</v>
      </c>
      <c r="B18" s="5"/>
      <c r="C18" s="6" t="s">
        <v>390</v>
      </c>
      <c r="D18" s="4" t="s">
        <v>397</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4"/>
    </row>
    <row r="22" spans="1:4" ht="15" customHeight="1" x14ac:dyDescent="0.35">
      <c r="A22" s="11" t="s">
        <v>411</v>
      </c>
      <c r="B22" s="5"/>
      <c r="C22" s="6" t="s">
        <v>388</v>
      </c>
      <c r="D22" s="4"/>
    </row>
    <row r="23" spans="1:4" ht="15" customHeight="1" x14ac:dyDescent="0.35">
      <c r="A23" s="11" t="s">
        <v>412</v>
      </c>
      <c r="B23" s="5"/>
      <c r="C23" s="6" t="s">
        <v>389</v>
      </c>
      <c r="D23" s="4"/>
    </row>
    <row r="24" spans="1:4" ht="60" customHeight="1" x14ac:dyDescent="0.35">
      <c r="A24" s="16" t="s">
        <v>413</v>
      </c>
      <c r="B24" s="17"/>
      <c r="C24" s="18" t="s">
        <v>674</v>
      </c>
      <c r="D24" s="15"/>
    </row>
    <row r="25" spans="1:4" ht="60" customHeight="1" x14ac:dyDescent="0.35">
      <c r="A25" s="16" t="s">
        <v>414</v>
      </c>
      <c r="B25" s="17"/>
      <c r="C25" s="18" t="s">
        <v>673</v>
      </c>
      <c r="D25" s="15"/>
    </row>
    <row r="26" spans="1:4" ht="15" customHeight="1" x14ac:dyDescent="0.35">
      <c r="A26" s="11" t="s">
        <v>415</v>
      </c>
      <c r="B26" s="5"/>
      <c r="C26" s="6" t="s">
        <v>348</v>
      </c>
      <c r="D26" s="4"/>
    </row>
    <row r="27" spans="1:4" ht="15" customHeight="1" x14ac:dyDescent="0.35">
      <c r="A27" s="11" t="s">
        <v>416</v>
      </c>
      <c r="B27" s="5"/>
      <c r="C27" s="6" t="s">
        <v>390</v>
      </c>
      <c r="D27" s="4"/>
    </row>
    <row r="28" spans="1:4" ht="15" customHeight="1" x14ac:dyDescent="0.35">
      <c r="A28" s="11" t="s">
        <v>417</v>
      </c>
      <c r="B28" s="5"/>
      <c r="C28" s="6" t="s">
        <v>391</v>
      </c>
      <c r="D28" s="4"/>
    </row>
    <row r="29" spans="1:4" ht="15" customHeight="1" x14ac:dyDescent="0.35">
      <c r="A29" s="11"/>
      <c r="B29" s="5"/>
      <c r="C29" s="5"/>
      <c r="D29" s="5"/>
    </row>
    <row r="30" spans="1:4" ht="15" customHeight="1" x14ac:dyDescent="0.35">
      <c r="A30" s="11" t="s">
        <v>418</v>
      </c>
      <c r="B30" s="5"/>
      <c r="C30" s="6" t="s">
        <v>387</v>
      </c>
      <c r="D30" s="4"/>
    </row>
    <row r="31" spans="1:4" ht="15" customHeight="1" x14ac:dyDescent="0.35">
      <c r="A31" s="11" t="s">
        <v>419</v>
      </c>
      <c r="B31" s="5"/>
      <c r="C31" s="6" t="s">
        <v>388</v>
      </c>
      <c r="D31" s="4"/>
    </row>
    <row r="32" spans="1:4" ht="15" customHeight="1" x14ac:dyDescent="0.35">
      <c r="A32" s="11" t="s">
        <v>420</v>
      </c>
      <c r="B32" s="5"/>
      <c r="C32" s="6" t="s">
        <v>389</v>
      </c>
      <c r="D32" s="4"/>
    </row>
    <row r="33" spans="1:4" ht="60" customHeight="1" x14ac:dyDescent="0.35">
      <c r="A33" s="16" t="s">
        <v>421</v>
      </c>
      <c r="B33" s="17"/>
      <c r="C33" s="18" t="s">
        <v>675</v>
      </c>
      <c r="D33" s="15"/>
    </row>
    <row r="34" spans="1:4" ht="60" customHeight="1" x14ac:dyDescent="0.35">
      <c r="A34" s="16" t="s">
        <v>422</v>
      </c>
      <c r="B34" s="17"/>
      <c r="C34" s="18" t="s">
        <v>673</v>
      </c>
      <c r="D34" s="15"/>
    </row>
    <row r="35" spans="1:4" ht="15" customHeight="1" x14ac:dyDescent="0.35">
      <c r="A35" s="11" t="s">
        <v>423</v>
      </c>
      <c r="B35" s="5"/>
      <c r="C35" s="6" t="s">
        <v>348</v>
      </c>
      <c r="D35" s="4"/>
    </row>
    <row r="36" spans="1:4" ht="15" customHeight="1" x14ac:dyDescent="0.35">
      <c r="A36" s="11" t="s">
        <v>424</v>
      </c>
      <c r="B36" s="5"/>
      <c r="C36" s="6" t="s">
        <v>390</v>
      </c>
      <c r="D36" s="4"/>
    </row>
    <row r="37" spans="1:4" ht="15" customHeight="1" x14ac:dyDescent="0.35">
      <c r="A37" s="11"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30" zoomScaleNormal="100" workbookViewId="0">
      <selection activeCell="D35" sqref="D3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PIERPAOLO RIVA;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COMPETITIVITÀ_IMPRESE</v>
      </c>
    </row>
    <row r="12" spans="1:4" ht="15" customHeight="1" x14ac:dyDescent="0.35">
      <c r="A12" s="11" t="s">
        <v>433</v>
      </c>
      <c r="B12" s="5"/>
      <c r="C12" s="6" t="s">
        <v>355</v>
      </c>
      <c r="D12" s="12" t="str">
        <f>ads1_principale</f>
        <v>CI1 Creazione e avvio d'impresa</v>
      </c>
    </row>
    <row r="13" spans="1:4" ht="15" customHeight="1" x14ac:dyDescent="0.35">
      <c r="A13" s="11" t="s">
        <v>434</v>
      </c>
      <c r="B13" s="5"/>
      <c r="C13" s="6" t="s">
        <v>356</v>
      </c>
      <c r="D13" s="12" t="str">
        <f>ads1_secondaria</f>
        <v>CI3 Innovazione di prodotto/servizio, strategica ed organizzativa</v>
      </c>
    </row>
    <row r="14" spans="1:4" ht="15" customHeight="1" x14ac:dyDescent="0.35">
      <c r="A14" s="11" t="s">
        <v>435</v>
      </c>
      <c r="B14" s="5"/>
      <c r="C14" s="6" t="s">
        <v>474</v>
      </c>
      <c r="D14" s="12" t="str">
        <f>ads1_terziaria</f>
        <v>CI4 Ristrutturazione, riconversione, discontinuità aziendale (re-start-up)</v>
      </c>
    </row>
    <row r="15" spans="1:4" ht="15" customHeight="1" x14ac:dyDescent="0.35">
      <c r="A15" s="11"/>
      <c r="B15" s="5"/>
      <c r="C15" s="5"/>
      <c r="D15" s="5"/>
    </row>
    <row r="16" spans="1:4" ht="15" customHeight="1" x14ac:dyDescent="0.35">
      <c r="A16" s="11" t="s">
        <v>436</v>
      </c>
      <c r="B16" s="5"/>
      <c r="C16" s="6" t="s">
        <v>363</v>
      </c>
      <c r="D16" s="12" t="str">
        <f>l1_tema</f>
        <v>INGEGNERIA DELLE TECNOLOGIE INDUSTRIALI</v>
      </c>
    </row>
    <row r="17" spans="1:4" ht="15" customHeight="1" x14ac:dyDescent="0.35">
      <c r="A17" s="11" t="s">
        <v>437</v>
      </c>
      <c r="B17" s="5"/>
      <c r="C17" s="6" t="s">
        <v>364</v>
      </c>
      <c r="D17" s="12">
        <f>l2_tema</f>
        <v>0</v>
      </c>
    </row>
    <row r="18" spans="1:4" ht="15" customHeight="1" x14ac:dyDescent="0.35">
      <c r="A18" s="11" t="s">
        <v>438</v>
      </c>
      <c r="B18" s="5"/>
      <c r="C18" s="6" t="s">
        <v>365</v>
      </c>
      <c r="D18" s="12">
        <f>dot_tema</f>
        <v>0</v>
      </c>
    </row>
    <row r="19" spans="1:4" ht="15" customHeight="1" x14ac:dyDescent="0.35">
      <c r="A19" s="11" t="s">
        <v>439</v>
      </c>
      <c r="B19" s="5"/>
      <c r="C19" s="6" t="s">
        <v>366</v>
      </c>
      <c r="D19" s="12" t="str">
        <f>m2l_tema</f>
        <v>Executive MBA</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734</v>
      </c>
    </row>
    <row r="23" spans="1:4" ht="15" customHeight="1" x14ac:dyDescent="0.35">
      <c r="A23" s="11"/>
      <c r="B23" s="5"/>
      <c r="C23" s="5"/>
      <c r="D23" s="5"/>
    </row>
    <row r="24" spans="1:4" ht="15" customHeight="1" x14ac:dyDescent="0.35">
      <c r="A24" s="11" t="s">
        <v>441</v>
      </c>
      <c r="B24" s="5"/>
      <c r="C24" s="6" t="s">
        <v>367</v>
      </c>
      <c r="D24" s="12" t="str">
        <f>ep1_denominazione</f>
        <v>AXXEA</v>
      </c>
    </row>
    <row r="25" spans="1:4" ht="15" customHeight="1" x14ac:dyDescent="0.35">
      <c r="A25" s="11" t="s">
        <v>442</v>
      </c>
      <c r="B25" s="5"/>
      <c r="C25" s="6" t="s">
        <v>368</v>
      </c>
      <c r="D25" s="12" t="str">
        <f>ep2_denominazione</f>
        <v>CONSULENTE TECNICO D'UFFICIO N 14615 - TRIBUNALE DI MILANO</v>
      </c>
    </row>
    <row r="26" spans="1:4" ht="15" customHeight="1" x14ac:dyDescent="0.35">
      <c r="A26" s="11" t="s">
        <v>443</v>
      </c>
      <c r="B26" s="5"/>
      <c r="C26" s="6" t="s">
        <v>369</v>
      </c>
      <c r="D26" s="12" t="str">
        <f>ep3_denominazione</f>
        <v>DOXEE</v>
      </c>
    </row>
    <row r="27" spans="1:4" ht="15" customHeight="1" x14ac:dyDescent="0.35">
      <c r="A27" s="11" t="s">
        <v>444</v>
      </c>
      <c r="B27" s="5"/>
      <c r="C27" s="6" t="s">
        <v>370</v>
      </c>
      <c r="D27" s="12" t="str">
        <f>ep4_denominazione</f>
        <v>TEA ACQUE</v>
      </c>
    </row>
    <row r="28" spans="1:4" ht="15" customHeight="1" x14ac:dyDescent="0.35">
      <c r="A28" s="11" t="s">
        <v>445</v>
      </c>
      <c r="B28" s="5"/>
      <c r="C28" s="6" t="s">
        <v>371</v>
      </c>
      <c r="D28" s="12" t="str">
        <f>ep5_denominazione</f>
        <v>INVENSYS</v>
      </c>
    </row>
    <row r="29" spans="1:4" ht="15" customHeight="1" x14ac:dyDescent="0.35">
      <c r="A29" s="11" t="s">
        <v>446</v>
      </c>
      <c r="B29" s="5"/>
      <c r="C29" s="6" t="s">
        <v>372</v>
      </c>
      <c r="D29" s="12" t="str">
        <f>ep6_denominazione</f>
        <v>BAAN COMPANY NV</v>
      </c>
    </row>
    <row r="30" spans="1:4" ht="15" customHeight="1" x14ac:dyDescent="0.35">
      <c r="A30" s="11" t="s">
        <v>447</v>
      </c>
      <c r="B30" s="5"/>
      <c r="C30" s="6" t="s">
        <v>373</v>
      </c>
      <c r="D30" s="12">
        <f>ep7_denominazione</f>
        <v>0</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7" t="s">
        <v>481</v>
      </c>
      <c r="D34" s="37"/>
    </row>
    <row r="35" spans="1:4" ht="262.5" customHeight="1" x14ac:dyDescent="0.35">
      <c r="A35" s="16" t="s">
        <v>451</v>
      </c>
      <c r="B35" s="5"/>
      <c r="C35" s="27" t="s">
        <v>430</v>
      </c>
      <c r="D35" s="14" t="s">
        <v>735</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MANIFATTURIERO_AVANZATO</v>
      </c>
    </row>
    <row r="40" spans="1:4" ht="15" customHeight="1" x14ac:dyDescent="0.35">
      <c r="A40" s="11" t="s">
        <v>453</v>
      </c>
      <c r="B40" s="5"/>
      <c r="C40" s="6" t="s">
        <v>357</v>
      </c>
      <c r="D40" s="12" t="str">
        <f>ads2_principale</f>
        <v>MA1 Produzione con processi innovativi</v>
      </c>
    </row>
    <row r="41" spans="1:4" ht="15" customHeight="1" x14ac:dyDescent="0.35">
      <c r="A41" s="11" t="s">
        <v>454</v>
      </c>
      <c r="B41" s="5"/>
      <c r="C41" s="6" t="s">
        <v>358</v>
      </c>
      <c r="D41" s="12" t="str">
        <f>ads2_secondaria</f>
        <v>MA2 Sistemi di produzione evolutivi e adattativi</v>
      </c>
    </row>
    <row r="42" spans="1:4" ht="15" customHeight="1" x14ac:dyDescent="0.35">
      <c r="A42" s="11" t="s">
        <v>455</v>
      </c>
      <c r="B42" s="5"/>
      <c r="C42" s="6" t="s">
        <v>475</v>
      </c>
      <c r="D42" s="12" t="str">
        <f>ads2_terziaria</f>
        <v>MA5 Sistemi manifatturieri per la sostenibilità ambientale</v>
      </c>
    </row>
    <row r="43" spans="1:4" ht="15" customHeight="1" x14ac:dyDescent="0.35">
      <c r="A43" s="11"/>
      <c r="B43" s="5"/>
      <c r="C43" s="5"/>
      <c r="D43" s="5"/>
    </row>
    <row r="44" spans="1:4" ht="15" customHeight="1" x14ac:dyDescent="0.35">
      <c r="A44" s="11" t="s">
        <v>456</v>
      </c>
      <c r="B44" s="5"/>
      <c r="C44" s="6" t="s">
        <v>363</v>
      </c>
      <c r="D44" s="12" t="str">
        <f>l1_tema</f>
        <v>INGEGNERIA DELLE TECNOLOGIE INDUSTRIALI</v>
      </c>
    </row>
    <row r="45" spans="1:4" ht="15" customHeight="1" x14ac:dyDescent="0.35">
      <c r="A45" s="11" t="s">
        <v>457</v>
      </c>
      <c r="B45" s="5"/>
      <c r="C45" s="6" t="s">
        <v>364</v>
      </c>
      <c r="D45" s="12">
        <f>l2_tema</f>
        <v>0</v>
      </c>
    </row>
    <row r="46" spans="1:4" ht="15" customHeight="1" x14ac:dyDescent="0.35">
      <c r="A46" s="11" t="s">
        <v>458</v>
      </c>
      <c r="B46" s="5"/>
      <c r="C46" s="6" t="s">
        <v>365</v>
      </c>
      <c r="D46" s="12">
        <f>dot_tema</f>
        <v>0</v>
      </c>
    </row>
    <row r="47" spans="1:4" ht="15" customHeight="1" x14ac:dyDescent="0.35">
      <c r="A47" s="11" t="s">
        <v>459</v>
      </c>
      <c r="B47" s="5"/>
      <c r="C47" s="6" t="s">
        <v>366</v>
      </c>
      <c r="D47" s="12" t="str">
        <f>m2l_tema</f>
        <v>Executive MBA</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724</v>
      </c>
    </row>
    <row r="51" spans="1:4" ht="15" customHeight="1" x14ac:dyDescent="0.35">
      <c r="A51" s="11"/>
      <c r="B51" s="5"/>
      <c r="C51" s="5"/>
      <c r="D51" s="5"/>
    </row>
    <row r="52" spans="1:4" ht="15" customHeight="1" x14ac:dyDescent="0.35">
      <c r="A52" s="11" t="s">
        <v>461</v>
      </c>
      <c r="B52" s="5"/>
      <c r="C52" s="6" t="s">
        <v>367</v>
      </c>
      <c r="D52" s="12" t="str">
        <f>ep1_denominazione</f>
        <v>AXXEA</v>
      </c>
    </row>
    <row r="53" spans="1:4" ht="15" customHeight="1" x14ac:dyDescent="0.35">
      <c r="A53" s="11" t="s">
        <v>462</v>
      </c>
      <c r="B53" s="5"/>
      <c r="C53" s="6" t="s">
        <v>368</v>
      </c>
      <c r="D53" s="12" t="str">
        <f>ep2_denominazione</f>
        <v>CONSULENTE TECNICO D'UFFICIO N 14615 - TRIBUNALE DI MILANO</v>
      </c>
    </row>
    <row r="54" spans="1:4" ht="15" customHeight="1" x14ac:dyDescent="0.35">
      <c r="A54" s="11" t="s">
        <v>463</v>
      </c>
      <c r="B54" s="5"/>
      <c r="C54" s="6" t="s">
        <v>369</v>
      </c>
      <c r="D54" s="12" t="str">
        <f>ep3_denominazione</f>
        <v>DOXEE</v>
      </c>
    </row>
    <row r="55" spans="1:4" ht="15" customHeight="1" x14ac:dyDescent="0.35">
      <c r="A55" s="11" t="s">
        <v>464</v>
      </c>
      <c r="B55" s="5"/>
      <c r="C55" s="6" t="s">
        <v>370</v>
      </c>
      <c r="D55" s="12" t="str">
        <f>ep4_denominazione</f>
        <v>TEA ACQUE</v>
      </c>
    </row>
    <row r="56" spans="1:4" ht="15" customHeight="1" x14ac:dyDescent="0.35">
      <c r="A56" s="11" t="s">
        <v>465</v>
      </c>
      <c r="B56" s="5"/>
      <c r="C56" s="6" t="s">
        <v>371</v>
      </c>
      <c r="D56" s="12" t="str">
        <f>ep5_denominazione</f>
        <v>INVENSYS</v>
      </c>
    </row>
    <row r="57" spans="1:4" ht="15" customHeight="1" x14ac:dyDescent="0.35">
      <c r="A57" s="11" t="s">
        <v>466</v>
      </c>
      <c r="B57" s="5"/>
      <c r="C57" s="6" t="s">
        <v>372</v>
      </c>
      <c r="D57" s="12" t="str">
        <f>ep6_denominazione</f>
        <v>BAAN COMPANY NV</v>
      </c>
    </row>
    <row r="58" spans="1:4" ht="15" customHeight="1" x14ac:dyDescent="0.35">
      <c r="A58" s="11" t="s">
        <v>467</v>
      </c>
      <c r="B58" s="5"/>
      <c r="C58" s="6" t="s">
        <v>373</v>
      </c>
      <c r="D58" s="12">
        <f>ep7_denominazione</f>
        <v>0</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727</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PIERPAOLO</v>
      </c>
      <c r="B2" s="24" t="str">
        <f>cognome</f>
        <v>RIVA</v>
      </c>
      <c r="C2" s="24" t="str">
        <f>sesso</f>
        <v>M</v>
      </c>
      <c r="D2" s="24" t="str">
        <f>stato_nascita</f>
        <v>ITALIA</v>
      </c>
      <c r="E2" s="24" t="str">
        <f>comune_nascita</f>
        <v>MILANO</v>
      </c>
      <c r="F2" s="24" t="str">
        <f>provincia_nascita</f>
        <v>MI</v>
      </c>
      <c r="G2" s="24" t="str">
        <f>data_nascita</f>
        <v>1965</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f>lingua2</f>
        <v>0</v>
      </c>
      <c r="AB2" s="24">
        <f>lingua2_livello</f>
        <v>0</v>
      </c>
      <c r="AC2" s="24">
        <f>lingua3</f>
        <v>0</v>
      </c>
      <c r="AD2" s="24">
        <f>lingua3_livello</f>
        <v>0</v>
      </c>
      <c r="AE2" s="24" t="str">
        <f>spec_principale</f>
        <v>COMPETITIVITÀ_IMPRESE</v>
      </c>
      <c r="AF2" s="24" t="str">
        <f>ads1_principale</f>
        <v>CI1 Creazione e avvio d'impresa</v>
      </c>
      <c r="AG2" s="24" t="str">
        <f>ads1_secondaria</f>
        <v>CI3 Innovazione di prodotto/servizio, strategica ed organizzativa</v>
      </c>
      <c r="AH2" s="24" t="str">
        <f>ads1_terziaria</f>
        <v>CI4 Ristrutturazione, riconversione, discontinuità aziendale (re-start-up)</v>
      </c>
      <c r="AI2" s="24" t="str">
        <f>spec_secondaria</f>
        <v>MANIFATTURIERO_AVANZATO</v>
      </c>
      <c r="AJ2" s="24" t="str">
        <f>ads2_principale</f>
        <v>MA1 Produzione con processi innovativi</v>
      </c>
      <c r="AK2" s="24" t="str">
        <f>ads2_secondaria</f>
        <v>MA2 Sistemi di produzione evolutivi e adattativi</v>
      </c>
      <c r="AL2" s="24" t="str">
        <f>ads2_terziaria</f>
        <v>MA5 Sistemi manifatturieri per la sostenibilità ambientale</v>
      </c>
      <c r="AM2" s="24" t="str">
        <f>l1_tipo</f>
        <v>Vecchio ordinamento</v>
      </c>
      <c r="AN2" s="24" t="str">
        <f>l1_tema</f>
        <v>INGEGNERIA DELLE TECNOLOGIE INDUSTRIALI</v>
      </c>
      <c r="AO2" s="24" t="str">
        <f>l1_anno</f>
        <v>1997</v>
      </c>
      <c r="AP2" s="24" t="str">
        <f>l1_presso</f>
        <v>POLITECNICO DI MILANO</v>
      </c>
      <c r="AQ2" s="24" t="str">
        <f>l1_titolo</f>
        <v>IL JUST IN TIME SEQUENZIATO IN UN' INDUSTRIA AUTOMOTIVE (internship)
(Progettazione Linea di produzione robotizzata mixed models e sistemi gestionali avanzati per il controllo sequenziato ERP/Just In Time)</v>
      </c>
      <c r="AR2" s="24" t="str">
        <f>l1_voto</f>
        <v>83/100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f>dot_tema</f>
        <v>0</v>
      </c>
      <c r="BH2" s="24">
        <f>dot_anno</f>
        <v>0</v>
      </c>
      <c r="BI2" s="24">
        <f>dot_presso</f>
        <v>0</v>
      </c>
      <c r="BJ2" s="24">
        <f>dot_titolo</f>
        <v>0</v>
      </c>
      <c r="BK2" s="24">
        <f>dot_voto</f>
        <v>0</v>
      </c>
      <c r="BL2" s="24" t="str">
        <f>m2l_tema</f>
        <v>Executive MBA</v>
      </c>
      <c r="BM2" s="24" t="str">
        <f>m2l_anno</f>
        <v>2003</v>
      </c>
      <c r="BN2" s="24" t="str">
        <f>m2l_presso</f>
        <v>SDA BOCCONI SCHOOL OF MANAGEMENT - MILANO</v>
      </c>
      <c r="BO2" s="24">
        <f>m2l_titolo</f>
        <v>0</v>
      </c>
      <c r="BP2" s="24" t="str">
        <f>m2l_voto</f>
        <v>4/5</v>
      </c>
      <c r="BQ2" s="24">
        <f>ep1_inizio</f>
        <v>37987</v>
      </c>
      <c r="BR2" s="24" t="str">
        <f>ep1_fine</f>
        <v>IN CORSO</v>
      </c>
      <c r="BS2" s="24" t="str">
        <f>ep1_denominazione</f>
        <v>AXXEA</v>
      </c>
      <c r="BT2" s="24" t="str">
        <f>ep1_comune</f>
        <v>MILANO</v>
      </c>
      <c r="BU2" s="24" t="str">
        <f>ep1_provincia</f>
        <v>MI</v>
      </c>
      <c r="BV2" s="24" t="str">
        <f>ep1_dimensione</f>
        <v>1 Micro impresa (&lt; 10 dipendenti)</v>
      </c>
      <c r="BW2" s="24" t="str">
        <f>ep1_settore</f>
        <v>CONSULENZA DIREZIONALE</v>
      </c>
      <c r="BX2" s="24" t="str">
        <f>ep1_ambito</f>
        <v>Privato</v>
      </c>
      <c r="BY2" s="24" t="str">
        <f>ep1_rife</f>
        <v>Entrambe</v>
      </c>
      <c r="BZ2" s="24" t="str">
        <f>ep1_attivita</f>
        <v xml:space="preserve">CONSULENZA DIREZIONALE IN AMBITO STRATEGIA D'IMPRESA E INNOVAZIONE, CORPORATE GOVERNANCE, GESTIONE E ORGANIZZAZIONE AZIENDALE, GESTIONE DELLA PRODUZIONE, VALUTAZIONE D'IMPRESA, VALUTAZIONE INVESTIMENTI INDUSTRIALI E AVVIO START UP. INCARICHI DI TEMPORARY MANAGER IN AZIENDE STRUTTURATE.
</v>
      </c>
      <c r="CA2" s="24" t="str">
        <f>ep1_resp</f>
        <v xml:space="preserve">AMMINISTRATORE, DIRETTORE GENERALE E CONSULENTE D'ALTA DIREZIONE. GESTIONE ECONOMICO FINANZIARIA. BUSINESS PLAN. DEFINIZIONE DELLE SOLUZIONI PER L' INNOVAZIONE TECNOLOGICA E PROCESSI INDUSTRIALI AVANZATI.
</v>
      </c>
      <c r="CB2" s="24">
        <f>ep2_inizio</f>
        <v>42811</v>
      </c>
      <c r="CC2" s="24" t="str">
        <f>ep2_fine</f>
        <v>IN CORSO</v>
      </c>
      <c r="CD2" s="24" t="str">
        <f>ep2_denominazione</f>
        <v>CONSULENTE TECNICO D'UFFICIO N 14615 - TRIBUNALE DI MILANO</v>
      </c>
      <c r="CE2" s="24" t="str">
        <f>ep2_comune</f>
        <v>MILANO</v>
      </c>
      <c r="CF2" s="24" t="str">
        <f>ep2_provincia</f>
        <v>MI</v>
      </c>
      <c r="CG2" s="24" t="str">
        <f>ep2_dimensione</f>
        <v>5 Ente pubblico</v>
      </c>
      <c r="CH2" s="24">
        <f>ep2_settore</f>
        <v>0</v>
      </c>
      <c r="CI2" s="24" t="str">
        <f>ep2_ambito</f>
        <v>Pubblico</v>
      </c>
      <c r="CJ2" s="24" t="str">
        <f>ep2_rife</f>
        <v>Entrambe</v>
      </c>
      <c r="CK2" s="24" t="str">
        <f>ep2_attivita</f>
        <v>Valutazione economico - gestionale e organizzativa di aziende, analisi e valutazione di adeguatezza delle politiche di “corporate governance”, Valutazioni di tipo organizzativo e gestionale in procedure di “due diligence”, analisi e valutazione del valore economico d’impresa, valutazione d’investimenti industriali, audit e valutazione di strutture manageriali, valutazione della gestione dei progetti IT quali: ERP, Business Intelligence ed E-commerce.</v>
      </c>
      <c r="CL2" s="24" t="str">
        <f>ep2_resp</f>
        <v xml:space="preserve">VALUTAZIONE TECNICO ECONOMICA 
SETTORE Impianti industriali; Informatica - Computer; </v>
      </c>
      <c r="CM2" s="24" t="str">
        <f>ep3_inizio</f>
        <v>23/05/2018</v>
      </c>
      <c r="CN2" s="24" t="str">
        <f>ep3_fine</f>
        <v>IN CORSO</v>
      </c>
      <c r="CO2" s="24" t="str">
        <f>ep3_denominazione</f>
        <v>DOXEE</v>
      </c>
      <c r="CP2" s="24" t="str">
        <f>ep3_comune</f>
        <v>MODENA</v>
      </c>
      <c r="CQ2" s="24" t="str">
        <f>ep3_provincia</f>
        <v>MO</v>
      </c>
      <c r="CR2" s="24" t="str">
        <f>ep3_dimensione</f>
        <v>3 Media impresa (&lt; 250 dipendenti)</v>
      </c>
      <c r="CS2" s="24" t="str">
        <f>ep3_settore</f>
        <v>SERVIZI DIGITALI - CUSTOMER COMMUNICATION MANAGEMENT</v>
      </c>
      <c r="CT2" s="24" t="str">
        <f>ep3_ambito</f>
        <v>Privato</v>
      </c>
      <c r="CU2" s="24" t="str">
        <f>ep3_rife</f>
        <v>Macro-area principale (MA1)</v>
      </c>
      <c r="CV2" s="24" t="str">
        <f>ep3_attivita</f>
        <v>CONSULENZA TECNICA DI PARTE (CTP) IN AMBITO PROTEZIONE DEL KNOW HOW E INNOVAZIONE TECNOLOGICA</v>
      </c>
      <c r="CW2" s="24" t="str">
        <f>ep3_resp</f>
        <v>PERIZIA TECNICA SU: VALORE KNOW-HOW, VALORE INNOVAZIONE TECNOLOGICA E VALORE D'IMPRESA</v>
      </c>
      <c r="CX2" s="24" t="str">
        <f>ep4_inizio</f>
        <v>12/05/2018</v>
      </c>
      <c r="CY2" s="24" t="str">
        <f>ep4_fine</f>
        <v>12/07/2018</v>
      </c>
      <c r="CZ2" s="24" t="str">
        <f>ep4_denominazione</f>
        <v>TEA ACQUE</v>
      </c>
      <c r="DA2" s="24" t="str">
        <f>ep4_comune</f>
        <v>MANTOVA</v>
      </c>
      <c r="DB2" s="24" t="str">
        <f>ep4_provincia</f>
        <v>MN</v>
      </c>
      <c r="DC2" s="24" t="str">
        <f>ep4_dimensione</f>
        <v>5 Ente pubblico</v>
      </c>
      <c r="DD2" s="24" t="str">
        <f>ep4_settore</f>
        <v>DISTRIBUZIONE E DEPURAZIONE ACQUE</v>
      </c>
      <c r="DE2" s="24" t="str">
        <f>ep4_ambito</f>
        <v>Pubblico</v>
      </c>
      <c r="DF2" s="24" t="str">
        <f>ep4_rife</f>
        <v>Macro-area principale (MA1)</v>
      </c>
      <c r="DG2" s="24" t="str">
        <f>ep4_attivita</f>
        <v>Consulenza Tecnica di Parte (CTP) per la Valutazione tecnico – economica di 13 (tredici) impianti di depurazione acque per i Comuni di Gazzuolo, Malavicina, Romanore, Bigarello, Buscoldo, Magnacavallo, Pietole, Villa Saviola, Castellucchio, Roncoferraro, Pegognaga, Roverbella e Bozzolo situati nella provincia di Mantova.</v>
      </c>
      <c r="DH2" s="24" t="str">
        <f>ep4_resp</f>
        <v>Perizia estimativa del valore degli impianti di depurazione e distribuzione acque</v>
      </c>
      <c r="DI2" s="24" t="str">
        <f>ep5_inizio</f>
        <v>01/01/2001</v>
      </c>
      <c r="DJ2" s="24" t="str">
        <f>ep5_fine</f>
        <v>31/12/2003</v>
      </c>
      <c r="DK2" s="24" t="str">
        <f>ep5_denominazione</f>
        <v>INVENSYS</v>
      </c>
      <c r="DL2" s="24" t="str">
        <f>ep5_comune</f>
        <v>SESTO SAN GIOVANNI</v>
      </c>
      <c r="DM2" s="24" t="str">
        <f>ep5_provincia</f>
        <v>MI</v>
      </c>
      <c r="DN2" s="24" t="str">
        <f>ep5_dimensione</f>
        <v>4 Grande impresa o multinazionale</v>
      </c>
      <c r="DO2" s="24" t="str">
        <f>ep5_settore</f>
        <v>SISTEMI SOFTWARE (ERP, CRM, BUSINESS INTELLIGENCE E-COMMERCE)</v>
      </c>
      <c r="DP2" s="24" t="str">
        <f>ep5_ambito</f>
        <v>Privato</v>
      </c>
      <c r="DQ2" s="24" t="str">
        <f>ep5_rife</f>
        <v>Entrambe</v>
      </c>
      <c r="DR2" s="24" t="str">
        <f>ep5_attivita</f>
        <v>GESTIONE ECONOMICO FINANZIARIA DELLA BUSINESS UNIT. GESTIONE CLIENTI, GESTIONE PROGETTI E RISORSE DEL TEAM DI CONSULENZA. ALCUNI CLIENTI &gt; ABB; Alstom Power; Ergom; Laserline; Pininfarina</v>
      </c>
      <c r="DS2" s="24" t="str">
        <f>ep5_resp</f>
        <v>RUOLO CONSULTING MANAGER. ACQUISIZIONE PROGETTI, VALUTAZIONE ECONOMICO FINANZIARIA PROGETTI, PREVENTIVAZIONE ED EMISSIONE OFFERTE, AVVIAMENTO E COMPLETAMENTO PROGETTI, GESTIONE E COORDINAMENTO TEAM DI CONSULENZA</v>
      </c>
      <c r="DT2" s="24" t="str">
        <f>ep6_inizio</f>
        <v>12/11/1997</v>
      </c>
      <c r="DU2" s="24" t="str">
        <f>ep6_fine</f>
        <v>31/12/2000</v>
      </c>
      <c r="DV2" s="24" t="str">
        <f>ep6_denominazione</f>
        <v>BAAN COMPANY NV</v>
      </c>
      <c r="DW2" s="24" t="str">
        <f>ep6_comune</f>
        <v>SESTO SAN GIOVANNI</v>
      </c>
      <c r="DX2" s="24" t="str">
        <f>ep6_provincia</f>
        <v>MI</v>
      </c>
      <c r="DY2" s="24" t="str">
        <f>ep6_dimensione</f>
        <v>4 Grande impresa o multinazionale</v>
      </c>
      <c r="DZ2" s="24" t="str">
        <f>ep6_settore</f>
        <v>SISTEMI SOFTWARE (ERP, CRM, BUSINESS INTELLIGENCE E-COMMERCE)</v>
      </c>
      <c r="EA2" s="24" t="str">
        <f>ep6_ambito</f>
        <v>Privato</v>
      </c>
      <c r="EB2" s="24" t="str">
        <f>ep6_rife</f>
        <v>Entrambe</v>
      </c>
      <c r="EC2" s="24" t="str">
        <f>ep6_attivita</f>
        <v>GESTIONE ECONOMICO FINANZIARIA DELLE COMMESSE, GESTIONE PROGETTI E RELATIVE RISORSE. ALCUNI CLIENTI &gt; Ferrari; ABB; Marconi Communication; OTE</v>
      </c>
      <c r="ED2" s="24" t="str">
        <f>ep6_resp</f>
        <v>RUOLO PROJECT MANAGER. VALUTAZIONE TECNICA DEI PROGETTI. STIMA ECONOMICO FINANZIARIA DEI PROGETTI. AVVIAMENTO E COMPLETAMENTO PROGETTI, GESTIONE E COORDINAMENTO TEAM DI PROGETTO</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Commissione Europea</v>
      </c>
      <c r="FX2" s="24" t="str">
        <f>bando1_ambito</f>
        <v>3 Internazionale</v>
      </c>
      <c r="FY2" s="24" t="str">
        <f>bando1_tema</f>
        <v>1 Innovazione e competitività</v>
      </c>
      <c r="FZ2" s="24" t="str">
        <f>bando1_misura</f>
        <v>Directive 2011/62/UE - Horizon 2020 - Research and Innovation Framework Programme
Call: H2020-SMEINST-2-2015 Funding scheme: SME instrument Proposal number: 696952 Proposal acronym: COUNTERFEITING Duration (months): 24 Proposal title: PHARMACEUTICAL COUNTERFEITING, DIVERSION AND ANTI TAMPERING CITIZEN’S FRIENDLY SYSTEM</v>
      </c>
      <c r="GA2" s="24" t="str">
        <f>bando1_descr</f>
        <v>Activity: SC5-20-2015-P SME programme (aiming at improving SMEs competitive level and business growth potentials) as well as the topic addressed (SC5-20-2014) focussing on innovation potential for the involved SMEs, with particular emphasis on boosting the potential of small businesses for eco-innovation.</v>
      </c>
      <c r="GB2" s="24" t="str">
        <f>bando1_anno</f>
        <v>2015</v>
      </c>
      <c r="GC2" s="24" t="str">
        <f>bando1_proj_val</f>
        <v>1 Fino a 10</v>
      </c>
      <c r="GD2" s="24" t="str">
        <f>bando1_inv_medio</f>
        <v>5 Da 1.000.000 a 5.000.000 Euro</v>
      </c>
      <c r="GE2" s="24">
        <f>bando2_ente</f>
        <v>0</v>
      </c>
      <c r="GF2" s="24">
        <f>bando2_ambito</f>
        <v>0</v>
      </c>
      <c r="GG2" s="24">
        <f>bando2_tema</f>
        <v>0</v>
      </c>
      <c r="GH2" s="24">
        <f>bando2_misura</f>
        <v>0</v>
      </c>
      <c r="GI2" s="24">
        <f>bando2_descr</f>
        <v>0</v>
      </c>
      <c r="GJ2" s="24">
        <f>bando2_anno</f>
        <v>0</v>
      </c>
      <c r="GK2" s="24">
        <f>bando2_proj_val</f>
        <v>0</v>
      </c>
      <c r="GL2" s="24">
        <f>bando2_inv_medio</f>
        <v>0</v>
      </c>
      <c r="GM2" s="24">
        <f>bando3_ente</f>
        <v>0</v>
      </c>
      <c r="GN2" s="24">
        <f>bando3_ambito</f>
        <v>0</v>
      </c>
      <c r="GO2" s="24">
        <f>bando3_tema</f>
        <v>0</v>
      </c>
      <c r="GP2" s="24">
        <f>bando3_misura</f>
        <v>0</v>
      </c>
      <c r="GQ2" s="24">
        <f>bando3_descr</f>
        <v>0</v>
      </c>
      <c r="GR2" s="24">
        <f>bando3_anno</f>
        <v>0</v>
      </c>
      <c r="GS2" s="24">
        <f>bando3_proj_val</f>
        <v>0</v>
      </c>
      <c r="GT2" s="24">
        <f>bando3_inv_medio</f>
        <v>0</v>
      </c>
      <c r="GU2" s="24" t="str">
        <f>ads1_motivazioni_cs</f>
        <v>La Laurea in Ingegneria delle tecnologie Industriali conseguita al Politecnico di Milano, nella sua caratterizzazione di insegnamenti quali: economia e organizzazione aziendale, organizzazione del lavoro, gestione della produzione e ricerca operativa, ha posto solide basi per la mia professionalità circa le sotto aree CI1, CI3, CI4. A ciò si unisce, durante il periodo lavorativo, una formazione più specialistica ed approfondita, ottenuta attraverso il conseguimento del Master of Business Administration (executive MBA) in Bocconi, più volta alla strategia, all'economia e finanza aziendale, al marketing, alle vendite, al controllo di gestione, alla valutazione d'impresa e degli investimenti, alla gestione ed organizzazione aziendale, all'innovazione tecnologica, alla pianificazione economico finaziaria delle operazioni di gestione ordinaria e straordinaria (dalla ristrutturazione, al M&amp;A, all'avvio di Start up) completando quindi la mia competenza e la mia professionalità nelle sotto aree CI1, CI3 e CI4.</v>
      </c>
      <c r="GV2" s="24" t="str">
        <f>ads1_motivazioni_ep</f>
        <v>L'impegno lavorativo fin dai tempi dell'università (Internship) in una grande azienda del settore Automotive seguito poi da esperienze di project manager e di consulting manager (in aziende multinazionali) hanno dato un contribuito molto pragmatico e fondamentale alla mia esperienza nel gestire sia progetti, sia un'intera unità operativa, affrontando questioni interdisciplinari e complesse legate alle strategie di mercato da seguire, alla costante innovazione dei servizi erogati, alla formulazione dei budget, alla valutazione tecnico economica delle commesse, al problem solving, alla gestione di persone e mezzi (materiali e finanziari), alla gestione dei clienti e della compliance di quanto sotto la mia responsabilità. Queste esperienze hanno arricchito le mie competenze in particolar modo nella sotto area CI3. Oltre ciò, la mia lunga esperienza sia nella Consulenza Direzionale sia come consulente tecnico (CTP) ha contribuito, per la sua varietà e complessità di impegno nei progetti di consulenza (strategica, organizzativa ed economico-finanziaria) e negli incarichi specifici di tecnico, a consolidare ed arricchire le mie competenze nelle sotto aree CI1, CI3 e CI4. Un compendio delle mie esperienze lavorative più salienti di consulente, inerenti le sotto aree CI1, CI3 e CI4, corredate dalle tecniche utilizzate, sono raccolte nel libro che ho pubblicato dal titolo: "RILANCIARE L’AZIENDA CON LE PROPRIE RISORSE". Edizione McGraw Hill, Milano, 2013. Articoli riguardanti i medesimi argomenti sono stati pubblicati, nel corso degli anni, per conto della rivista specializzata "Logistica Management" e della "Rivista dell'Ordine degli Ingegneri di Milano".</v>
      </c>
      <c r="GW2" s="24" t="str">
        <f>ads2_motivazioni_cs</f>
        <v xml:space="preserve">In questa area la mia Laurea in Ingegneria delle tecnologie Industriali, in particolare attraverso discipline quali: gestione della produzione (progettazione e controllo dei processi produttivi avanzati), ricerca operativa (modellizzazione dei sistemi di controllo dei processi), disegno industriale, impianti e tecnologie industriali, impianti speciali (robotizzati), servizi generali d'impianto, tecnologie meccaniche (tradizionali e innovative), impianti per l'elaborazione delle informazioni, informatica industriale, controlli automatici (evolutivi e adattativi), impiego industriale dei materiali, meccanica applicata alle macchine e tanti altri, ha giocato un ruolo fondamentale per la mia professionalità circa le sotto aree MA1, MA2 e MA5. Un contributo diverso ma pur sempre importante l'ha portato, nelle medisime aree MA1, MA2 e MA5 il Master of Business Administration attraverso discipline quali strategia e gestione dell'innovazione, tecnologia e produzione nonchè sistemi informativi aziendali avanzati. </v>
      </c>
      <c r="GX2" s="24" t="str">
        <f>ads2_motivazioni_ep</f>
        <v>Tutte le sotto aree MA1, MA2 e MA5 trovano riscontro sia nelle mia esperienza di internship in una grande multinazionale dell'auto all'inizio della mia carriera da consulente, sia nei progetti che ho gestito personalmente in tutte le aziende manufatturiere in cui ho operato sempre in qualità di consulente. Progetti complessi che sposano la strategia di mercato con lo sviluppo prodotto e la sua industrializzazione attraverso impianti e processi innovativi, sia sotto l'aspetto tecnologico che gestionale avanzato (dagli asservimenti, al controllo di processo, all'informatica industriale 4.0, alla business intelligence). Un compendio delle mie esperienze lavorative più salienti di consulente, inerenti le sotto aree MA1, MA2 e MA5, corredate dalle tecniche utilizzate, sono raccolte nel libro che ho pubblicato dal titolo: "RILANCIARE L’AZIENDA CON LE PROPRIE RISORSE". Edizione McGraw Hill, Milano, 2013. Articoli riguardanti i medesimi argomenti sono stati pubblicati, nel corso degli anni, per conto della rivista specializzata "Logistica Management" e della "Rivista dell'Ordine degli Ingegneri di Milano".</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2019-01-11T13:54:51Z</cp:lastPrinted>
  <dcterms:created xsi:type="dcterms:W3CDTF">2015-03-10T11:30:22Z</dcterms:created>
  <dcterms:modified xsi:type="dcterms:W3CDTF">2020-04-29T16:08:13Z</dcterms:modified>
  <cp:contentStatus>Finale</cp:contentStatus>
</cp:coreProperties>
</file>